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ivotTables/pivotTable1.xml" ContentType="application/vnd.openxmlformats-officedocument.spreadsheetml.pivotTable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7" activeTab="9"/>
  </bookViews>
  <sheets>
    <sheet name="Sheet1" sheetId="1" r:id="rId1"/>
    <sheet name="მოგება(ამოცანა1)" sheetId="4" r:id="rId2"/>
    <sheet name="თანამშრომლები" sheetId="2" r:id="rId3"/>
    <sheet name="მომხმარებლები" sheetId="6" r:id="rId4"/>
    <sheet name="გაიდული პროდუქცია(ამოცანა2)" sheetId="5" r:id="rId5"/>
    <sheet name="პროდუქტი(სორტირება)(ამოცანა3)" sheetId="3" r:id="rId6"/>
    <sheet name="პროდუქტი(ფილტრაცია)" sheetId="8" r:id="rId7"/>
    <sheet name="pivod table და subtotal" sheetId="10" r:id="rId8"/>
    <sheet name="პროდუქტი(ამოცანა4)" sheetId="12" r:id="rId9"/>
    <sheet name="ამოცანა 5" sheetId="13" r:id="rId10"/>
  </sheets>
  <definedNames>
    <definedName name="_xlnm._FilterDatabase" localSheetId="6" hidden="1">'პროდუქტი(ფილტრაცია)'!$B$4:$I$4</definedName>
    <definedName name="_xlnm.Criteria" localSheetId="6">'პროდუქტი(ფილტრაცია)'!$B$23:$I$24</definedName>
    <definedName name="_xlnm.Extract" localSheetId="6">'პროდუქტი(ფილტრაცია)'!$B$34:$I$34</definedName>
    <definedName name="_xlnm.Print_Area" localSheetId="4">'გაიდული პროდუქცია(ამოცანა2)'!$B$4:$J$33</definedName>
    <definedName name="ბრენდები1">OFFSET('მოგება(ამოცანა1)'!$C$5,0,0,1,COUNTA('მოგება(ამოცანა1)'!$5:$5)-1)</definedName>
    <definedName name="ბრენდების_სია" localSheetId="8">OFFSET('პროდუქტი(ამოცანა4)'!$N$5,,,COUNTA('პროდუქტი(ამოცანა4)'!$N:$N)-1,1)</definedName>
    <definedName name="ბრენდების_სია" localSheetId="6">OFFSET('პროდუქტი(ფილტრაცია)'!$N$5,,,COUNTA('პროდუქტი(ფილტრაცია)'!$N:$N)-1,1)</definedName>
    <definedName name="ბრენდების_სია">OFFSET('პროდუქტი(სორტირება)(ამოცანა3)'!$N$5,,,COUNTA('პროდუქტი(სორტირება)(ამოცანა3)'!$N:$N)-1,1)</definedName>
    <definedName name="გაყიდული_პროდუქციის_კოდი">OFFSET('გაიდული პროდუქცია(ამოცანა2)'!$B$19,,,COUNTA('გაიდული პროდუქცია(ამოცანა2)'!$B:$B)-1,1)</definedName>
    <definedName name="გვარი" localSheetId="7">OFFSET('pivod table და subtotal'!$D$5,,,COUNTA('pivod table და subtotal'!$D:$D)-1,1)</definedName>
    <definedName name="გვარი" localSheetId="2">OFFSET(თანამშრომლები!$D$5,,,COUNTA(თანამშრომლები!$D:$D)-1,1)</definedName>
    <definedName name="დამატებითი_საათები" localSheetId="7">OFFSET('pivod table და subtotal'!$I$5,,,COUNTA('pivod table და subtotal'!$I:$I)-1,1)</definedName>
    <definedName name="დამატებითი_საათები" localSheetId="2">OFFSET(თანამშრომლები!$I$5,,,COUNTA(თანამშრომლები!$I:$I)-1,1)</definedName>
    <definedName name="ელ_ფოსტა" localSheetId="7">OFFSET('pivod table და subtotal'!$G$5,,,COUNTA('pivod table და subtotal'!$G:$G)-1,1)</definedName>
    <definedName name="ელ_ფოსტა" localSheetId="2">OFFSET(თანამშრომლები!$G$5,,,COUNTA(თანამშრომლები!$G:$G)-1,1)</definedName>
    <definedName name="თანამდებობა" localSheetId="7">OFFSET('pivod table და subtotal'!$E$5,,,COUNTA('pivod table და subtotal'!$E:$E)-1,1)</definedName>
    <definedName name="თანამდებობა">OFFSET(თანამშრომლები!$E$5,,,COUNTA(თანამშრომლები!$E:$E)-1,1)</definedName>
    <definedName name="თანამდებობები" localSheetId="7">OFFSET('pivod table და subtotal'!$W$9,,,COUNTA('pivod table და subtotal'!$W:$W)-1,1)</definedName>
    <definedName name="თანამდებობები">OFFSET(თანამშრომლები!$W$8,,,COUNTA(თანამშრომლები!$W:$W)-1,1)</definedName>
    <definedName name="თანამშრომლები" localSheetId="7">OFFSET('pivod table და subtotal'!$B$5,,,COUNTA('pivod table და subtotal'!$B:$B)-1,COUNTA('pivod table და subtotal'!$4:$4))</definedName>
    <definedName name="თანამშრომლები">OFFSET(თანამშრომლები!$B$5,,,COUNTA(თანამშრომლები!$B:$B)-1,COUNTA(თანამშრომლები!$4:$4))</definedName>
    <definedName name="თანამშრომლის_კოდი" localSheetId="7">OFFSET('pivod table და subtotal'!$B$5,,,COUNTA('pivod table და subtotal'!$B:$B)-1,1)</definedName>
    <definedName name="თანამშრომლის_კოდი">OFFSET(თანამშრომლები!$B$5,,,COUNTA(თანამშრომლები!$B:$B)-1,1)</definedName>
    <definedName name="მომხმარებლები">OFFSET(მომხმარებლები!$B$5,,,COUNTA(მომხმარებლები!$B:$B)-1,COUNTA(მომხმარებლები!$4:$4))</definedName>
    <definedName name="მომხმარებლის_გვარი">OFFSET(მომხმარებლები!$C$5,,,COUNTA(მომხმარებლები!$C:$C)-1,1)</definedName>
    <definedName name="მომხმარებლის_ელ_ფოსტა">OFFSET(მომხმარებლები!$F$5,,,COUNTA(მომხმარებლები!$F:$F)-1,1)</definedName>
    <definedName name="მომხმარებლის_კოდი">OFFSET(მომხმარებლები!$B$5,,,COUNTA(მომხმარებლები!$B:$B)-1,1)</definedName>
    <definedName name="მომხმარებლის_სახელი">OFFSET(მომხმარებლები!$D$5,,,COUNTA(მომხმარებლები!$D:$D)-1,1)</definedName>
    <definedName name="მომხმარებლის_ტელეფონი">OFFSET(მომხმარებლები!$E$5,,,COUNTA(მომხმარებლები!$E:$E)-1,1)</definedName>
    <definedName name="პროდუქტები" localSheetId="8">OFFSET('პროდუქტი(ამოცანა4)'!$B$5,,,COUNTA('პროდუქტი(ამოცანა4)'!$B:$B)-1,COUNTA('პროდუქტი(ამოცანა4)'!$4:$4)-2)</definedName>
    <definedName name="პროდუქტები" localSheetId="6">OFFSET('პროდუქტი(ფილტრაცია)'!$B$5,,,COUNTA('პროდუქტი(ფილტრაცია)'!$B:$B)-1,COUNTA('პროდუქტი(ფილტრაცია)'!$4:$4)-2)</definedName>
    <definedName name="პროდუქტები">OFFSET('პროდუქტი(სორტირება)(ამოცანა3)'!$B$5,,,COUNTA('პროდუქტი(სორტირება)(ამოცანა3)'!$B:$B)-1,COUNTA('პროდუქტი(სორტირება)(ამოცანა3)'!$4:$4)-2)</definedName>
    <definedName name="პროდუქტის_კატეგორიები" localSheetId="8">OFFSET('პროდუქტი(ამოცანა4)'!$M$5,,,COUNTA('პროდუქტი(ამოცანა4)'!$M:$M)-1,1)</definedName>
    <definedName name="პროდუქტის_კატეგორიები" localSheetId="6">OFFSET('პროდუქტი(ფილტრაცია)'!$M$5,,,COUNTA('პროდუქტი(ფილტრაცია)'!$M:$M)-1,1)</definedName>
    <definedName name="პროდუქტის_კატეგორიები">OFFSET('პროდუქტი(სორტირება)(ამოცანა3)'!$M$5,,,COUNTA('პროდუქტი(სორტირება)(ამოცანა3)'!$M:$M)-1,1)</definedName>
    <definedName name="პროდუქტის_კოდი" localSheetId="8">OFFSET('პროდუქტი(ამოცანა4)'!$B$5,,,COUNTA('პროდუქტი(ამოცანა4)'!$B:$B)-1,1)</definedName>
    <definedName name="პროდუქტის_კოდი" localSheetId="6">OFFSET('პროდუქტი(ფილტრაცია)'!$B$5,,,COUNTA('პროდუქტი(ფილტრაცია)'!$B:$B)-1,1)</definedName>
    <definedName name="პროდუქტის_კოდი">OFFSET('პროდუქტი(სორტირება)(ამოცანა3)'!$B$5,,,COUNTA('პროდუქტი(სორტირება)(ამოცანა3)'!$B:$B)-1,1)</definedName>
    <definedName name="საბოლოო_ხელფასი" localSheetId="7">OFFSET('pivod table და subtotal'!$K$5,,,COUNTA('pivod table და subtotal'!$K:$K)-1,1)</definedName>
    <definedName name="საბოლოო_ხელფასი">OFFSET(თანამშრომლები!$K$5,,,COUNTA(თანამშრომლები!$K:$K)-1,1)</definedName>
    <definedName name="სახელი" localSheetId="7">OFFSET('pivod table და subtotal'!$C$5,,,COUNTA('pivod table და subtotal'!$C:$C)-1,1)</definedName>
    <definedName name="სახელი" localSheetId="2">OFFSET(თანამშრომლები!$C$5,,,COUNTA(თანამშრომლები!$C:$C)-1,1)</definedName>
    <definedName name="ტელეფონი" localSheetId="7">OFFSET('pivod table და subtotal'!$F$5,,,COUNTA('pivod table და subtotal'!$F:$F)-1,1)</definedName>
    <definedName name="ტელეფონი" localSheetId="2">OFFSET(თანამშრომლები!$F$5,,,COUNTA(თანამშრომლები!$F:$F)-1,1)</definedName>
    <definedName name="ხელფასი" localSheetId="7">OFFSET('pivod table და subtotal'!$H$5,,,COUNTA('pivod table და subtotal'!$H:$H)-1,1)</definedName>
    <definedName name="ხელფასი">OFFSET(თანამშრომლები!$H$5,,,COUNTA(თანამშრომლები!$H:$H)-1,1)</definedName>
  </definedNames>
  <calcPr calcId="152511"/>
  <pivotCaches>
    <pivotCache cacheId="24" r:id="rId11"/>
  </pivotCaches>
</workbook>
</file>

<file path=xl/calcChain.xml><?xml version="1.0" encoding="utf-8"?>
<calcChain xmlns="http://schemas.openxmlformats.org/spreadsheetml/2006/main">
  <c r="L31" i="13" l="1"/>
  <c r="L30" i="13"/>
  <c r="L29" i="13"/>
  <c r="L28" i="13"/>
  <c r="L27" i="13"/>
  <c r="L26" i="13"/>
  <c r="L25" i="13"/>
  <c r="J22" i="2" l="1"/>
  <c r="K22" i="2"/>
  <c r="C257" i="12"/>
  <c r="B257" i="12"/>
  <c r="C259" i="12"/>
  <c r="B259" i="12"/>
  <c r="D250" i="12" l="1"/>
  <c r="K243" i="12"/>
  <c r="K242" i="12"/>
  <c r="K241" i="12"/>
  <c r="K240" i="12"/>
  <c r="K239" i="12"/>
  <c r="K238" i="12"/>
  <c r="K237" i="12"/>
  <c r="K236" i="12"/>
  <c r="K235" i="12"/>
  <c r="K234" i="12"/>
  <c r="K233" i="12"/>
  <c r="K232" i="12"/>
  <c r="K231" i="12"/>
  <c r="K230" i="12"/>
  <c r="K229" i="12"/>
  <c r="D219" i="12" l="1"/>
  <c r="D223" i="12"/>
  <c r="D215" i="12"/>
  <c r="D209" i="12"/>
  <c r="C205" i="12"/>
  <c r="C204" i="12"/>
  <c r="C203" i="12"/>
  <c r="C202" i="12"/>
  <c r="C201" i="12"/>
  <c r="C191" i="12"/>
  <c r="C190" i="12"/>
  <c r="C189" i="12"/>
  <c r="C188" i="12"/>
  <c r="C187" i="12"/>
  <c r="C186" i="12"/>
  <c r="C185" i="12"/>
  <c r="P163" i="12"/>
  <c r="P164" i="12"/>
  <c r="P165" i="12"/>
  <c r="P166" i="12"/>
  <c r="P167" i="12"/>
  <c r="P168" i="12"/>
  <c r="P169" i="12"/>
  <c r="P170" i="12"/>
  <c r="P171" i="12"/>
  <c r="P172" i="12"/>
  <c r="P173" i="12"/>
  <c r="P174" i="12"/>
  <c r="P175" i="12"/>
  <c r="P176" i="12"/>
  <c r="P162" i="12"/>
  <c r="O163" i="12"/>
  <c r="O164" i="12"/>
  <c r="O165" i="12"/>
  <c r="O166" i="12"/>
  <c r="O167" i="12"/>
  <c r="O168" i="12"/>
  <c r="O169" i="12"/>
  <c r="O170" i="12"/>
  <c r="O171" i="12"/>
  <c r="O172" i="12"/>
  <c r="O173" i="12"/>
  <c r="O174" i="12"/>
  <c r="O175" i="12"/>
  <c r="O176" i="12"/>
  <c r="O162" i="12"/>
  <c r="N163" i="12"/>
  <c r="N164" i="12"/>
  <c r="N165" i="12"/>
  <c r="N166" i="12"/>
  <c r="N167" i="12"/>
  <c r="N168" i="12"/>
  <c r="N169" i="12"/>
  <c r="N170" i="12"/>
  <c r="N171" i="12"/>
  <c r="N172" i="12"/>
  <c r="N173" i="12"/>
  <c r="N174" i="12"/>
  <c r="N175" i="12"/>
  <c r="N176" i="12"/>
  <c r="N162" i="12"/>
  <c r="M163" i="12"/>
  <c r="M164" i="12"/>
  <c r="M165" i="12"/>
  <c r="M166" i="12"/>
  <c r="M167" i="12"/>
  <c r="M168" i="12"/>
  <c r="M169" i="12"/>
  <c r="M170" i="12"/>
  <c r="M171" i="12"/>
  <c r="M172" i="12"/>
  <c r="M173" i="12"/>
  <c r="M174" i="12"/>
  <c r="M175" i="12"/>
  <c r="M176" i="12"/>
  <c r="M162" i="12"/>
  <c r="L163" i="12"/>
  <c r="L164" i="12"/>
  <c r="L165" i="12"/>
  <c r="L166" i="12"/>
  <c r="L167" i="12"/>
  <c r="L168" i="12"/>
  <c r="L169" i="12"/>
  <c r="L170" i="12"/>
  <c r="L171" i="12"/>
  <c r="L172" i="12"/>
  <c r="L173" i="12"/>
  <c r="L174" i="12"/>
  <c r="L175" i="12"/>
  <c r="L176" i="12"/>
  <c r="L162" i="12"/>
  <c r="K176" i="12"/>
  <c r="J176" i="12"/>
  <c r="K175" i="12"/>
  <c r="J175" i="12"/>
  <c r="K174" i="12"/>
  <c r="J174" i="12"/>
  <c r="K173" i="12"/>
  <c r="J173" i="12"/>
  <c r="K172" i="12"/>
  <c r="J172" i="12"/>
  <c r="K171" i="12"/>
  <c r="J171" i="12"/>
  <c r="K170" i="12"/>
  <c r="J170" i="12"/>
  <c r="K169" i="12"/>
  <c r="J169" i="12"/>
  <c r="K168" i="12"/>
  <c r="J168" i="12"/>
  <c r="K167" i="12"/>
  <c r="J167" i="12"/>
  <c r="K166" i="12"/>
  <c r="J166" i="12"/>
  <c r="K165" i="12"/>
  <c r="J165" i="12"/>
  <c r="K164" i="12"/>
  <c r="J164" i="12"/>
  <c r="K163" i="12"/>
  <c r="J163" i="12"/>
  <c r="K162" i="12"/>
  <c r="J162" i="12"/>
  <c r="E219" i="12"/>
  <c r="E223" i="12"/>
  <c r="E215" i="12"/>
  <c r="D152" i="12" l="1"/>
  <c r="E145" i="12"/>
  <c r="E144" i="12"/>
  <c r="E138" i="12"/>
  <c r="E135" i="12"/>
  <c r="E131" i="12"/>
  <c r="E127" i="12"/>
  <c r="D118" i="12" l="1"/>
  <c r="D120" i="12" s="1"/>
  <c r="D113" i="12"/>
  <c r="D108" i="12"/>
  <c r="E93" i="12"/>
  <c r="E94" i="12"/>
  <c r="F94" i="12" s="1"/>
  <c r="E95" i="12"/>
  <c r="E96" i="12"/>
  <c r="F96" i="12" s="1"/>
  <c r="E97" i="12"/>
  <c r="E98" i="12"/>
  <c r="F98" i="12" s="1"/>
  <c r="E99" i="12"/>
  <c r="E100" i="12"/>
  <c r="F100" i="12" s="1"/>
  <c r="E101" i="12"/>
  <c r="F93" i="12"/>
  <c r="F95" i="12"/>
  <c r="F97" i="12"/>
  <c r="F99" i="12"/>
  <c r="F101" i="12"/>
  <c r="F92" i="12"/>
  <c r="E92" i="12"/>
  <c r="C88" i="12"/>
  <c r="C87" i="12"/>
  <c r="C86" i="12"/>
  <c r="E81" i="12"/>
  <c r="E76" i="12"/>
  <c r="D67" i="12"/>
  <c r="D46" i="12"/>
  <c r="E56" i="12" s="1"/>
  <c r="E46" i="12"/>
  <c r="F46" i="12"/>
  <c r="D47" i="12"/>
  <c r="E57" i="12" s="1"/>
  <c r="E47" i="12"/>
  <c r="F47" i="12"/>
  <c r="D48" i="12"/>
  <c r="E58" i="12" s="1"/>
  <c r="E48" i="12"/>
  <c r="F48" i="12"/>
  <c r="D49" i="12"/>
  <c r="E59" i="12" s="1"/>
  <c r="E49" i="12"/>
  <c r="F49" i="12"/>
  <c r="D50" i="12"/>
  <c r="E60" i="12" s="1"/>
  <c r="E50" i="12"/>
  <c r="F50" i="12"/>
  <c r="D51" i="12"/>
  <c r="E61" i="12" s="1"/>
  <c r="E51" i="12"/>
  <c r="F51" i="12"/>
  <c r="D52" i="12"/>
  <c r="E62" i="12" s="1"/>
  <c r="E52" i="12"/>
  <c r="F52" i="12"/>
  <c r="D53" i="12"/>
  <c r="E53" i="12"/>
  <c r="F53" i="12"/>
  <c r="D122" i="12" l="1"/>
  <c r="D121" i="12"/>
  <c r="E63" i="12"/>
  <c r="F31" i="12"/>
  <c r="E40" i="12"/>
  <c r="F38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5" i="12"/>
  <c r="H121" i="12" l="1"/>
  <c r="B27" i="12" l="1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I6" i="12"/>
  <c r="I5" i="12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5" i="8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5" i="3"/>
  <c r="K25" i="10" l="1"/>
  <c r="I25" i="10"/>
  <c r="J24" i="10"/>
  <c r="K24" i="10" s="1"/>
  <c r="K21" i="2"/>
  <c r="J21" i="2"/>
  <c r="I22" i="10" l="1"/>
  <c r="J22" i="10" s="1"/>
  <c r="K22" i="10" s="1"/>
  <c r="I21" i="10"/>
  <c r="J21" i="10" s="1"/>
  <c r="K21" i="10" s="1"/>
  <c r="I20" i="10"/>
  <c r="J20" i="10" s="1"/>
  <c r="K20" i="10" s="1"/>
  <c r="I19" i="10"/>
  <c r="J19" i="10" s="1"/>
  <c r="K19" i="10" s="1"/>
  <c r="I18" i="10"/>
  <c r="J18" i="10" s="1"/>
  <c r="K18" i="10" s="1"/>
  <c r="I17" i="10"/>
  <c r="J17" i="10" s="1"/>
  <c r="K17" i="10" s="1"/>
  <c r="I16" i="10"/>
  <c r="J16" i="10" s="1"/>
  <c r="K16" i="10" s="1"/>
  <c r="I15" i="10"/>
  <c r="J15" i="10" s="1"/>
  <c r="K15" i="10" s="1"/>
  <c r="I14" i="10"/>
  <c r="I12" i="10"/>
  <c r="J12" i="10" s="1"/>
  <c r="K12" i="10" s="1"/>
  <c r="I11" i="10"/>
  <c r="J11" i="10" s="1"/>
  <c r="K11" i="10" s="1"/>
  <c r="I10" i="10"/>
  <c r="J10" i="10" s="1"/>
  <c r="K10" i="10" s="1"/>
  <c r="I9" i="10"/>
  <c r="J9" i="10" s="1"/>
  <c r="K9" i="10" s="1"/>
  <c r="I8" i="10"/>
  <c r="I6" i="10"/>
  <c r="J6" i="10" s="1"/>
  <c r="K6" i="10" s="1"/>
  <c r="I5" i="10"/>
  <c r="J14" i="10" l="1"/>
  <c r="K14" i="10" s="1"/>
  <c r="K23" i="10" s="1"/>
  <c r="I23" i="10"/>
  <c r="J8" i="10"/>
  <c r="K8" i="10" s="1"/>
  <c r="K13" i="10" s="1"/>
  <c r="I13" i="10"/>
  <c r="J5" i="10"/>
  <c r="K5" i="10" s="1"/>
  <c r="I7" i="10"/>
  <c r="I26" i="10" s="1"/>
  <c r="F20" i="5"/>
  <c r="F21" i="5"/>
  <c r="F22" i="5"/>
  <c r="F23" i="5"/>
  <c r="F24" i="5"/>
  <c r="F25" i="5"/>
  <c r="F26" i="5"/>
  <c r="F27" i="5"/>
  <c r="F28" i="5"/>
  <c r="F29" i="5"/>
  <c r="F30" i="5"/>
  <c r="F19" i="5"/>
  <c r="K7" i="10" l="1"/>
  <c r="K26" i="10" s="1"/>
  <c r="H20" i="5"/>
  <c r="H21" i="5"/>
  <c r="H22" i="5"/>
  <c r="H23" i="5"/>
  <c r="H24" i="5"/>
  <c r="H25" i="5"/>
  <c r="H26" i="5"/>
  <c r="H27" i="5"/>
  <c r="H28" i="5"/>
  <c r="H29" i="5"/>
  <c r="H30" i="5"/>
  <c r="H19" i="5"/>
  <c r="I20" i="5"/>
  <c r="I21" i="5"/>
  <c r="I22" i="5"/>
  <c r="I23" i="5"/>
  <c r="I24" i="5"/>
  <c r="I25" i="5"/>
  <c r="I26" i="5"/>
  <c r="I27" i="5"/>
  <c r="I28" i="5"/>
  <c r="I29" i="5"/>
  <c r="I30" i="5"/>
  <c r="E20" i="5"/>
  <c r="E21" i="5"/>
  <c r="E22" i="5"/>
  <c r="E23" i="5"/>
  <c r="E24" i="5"/>
  <c r="E25" i="5"/>
  <c r="E26" i="5"/>
  <c r="E27" i="5"/>
  <c r="E28" i="5"/>
  <c r="E29" i="5"/>
  <c r="E30" i="5"/>
  <c r="D20" i="5"/>
  <c r="D21" i="5"/>
  <c r="D22" i="5"/>
  <c r="D23" i="5"/>
  <c r="D24" i="5"/>
  <c r="D25" i="5"/>
  <c r="D26" i="5"/>
  <c r="D27" i="5"/>
  <c r="D28" i="5"/>
  <c r="D29" i="5"/>
  <c r="D30" i="5"/>
  <c r="I19" i="5"/>
  <c r="E19" i="5"/>
  <c r="D19" i="5"/>
  <c r="C20" i="5"/>
  <c r="C21" i="5"/>
  <c r="C22" i="5"/>
  <c r="C23" i="5"/>
  <c r="C24" i="5"/>
  <c r="C25" i="5"/>
  <c r="C26" i="5"/>
  <c r="C27" i="5"/>
  <c r="C28" i="5"/>
  <c r="C29" i="5"/>
  <c r="C30" i="5"/>
  <c r="C19" i="5"/>
  <c r="J6" i="5"/>
  <c r="J7" i="5"/>
  <c r="J8" i="5"/>
  <c r="J5" i="5"/>
  <c r="C5" i="5"/>
  <c r="C6" i="5"/>
  <c r="C7" i="5"/>
  <c r="C8" i="5"/>
  <c r="C9" i="5"/>
  <c r="I31" i="5" l="1"/>
  <c r="I32" i="5" l="1"/>
  <c r="I33" i="5" s="1"/>
  <c r="C6" i="4" l="1"/>
  <c r="D6" i="4"/>
  <c r="E6" i="4"/>
  <c r="F6" i="4"/>
  <c r="G6" i="4"/>
  <c r="H6" i="4"/>
  <c r="I6" i="4"/>
  <c r="J6" i="4"/>
  <c r="K6" i="4"/>
  <c r="L6" i="4"/>
  <c r="C7" i="4"/>
  <c r="D7" i="4"/>
  <c r="E7" i="4"/>
  <c r="F7" i="4"/>
  <c r="G7" i="4"/>
  <c r="H7" i="4"/>
  <c r="I7" i="4"/>
  <c r="J7" i="4"/>
  <c r="K7" i="4"/>
  <c r="L7" i="4"/>
  <c r="C8" i="4"/>
  <c r="D8" i="4"/>
  <c r="E8" i="4"/>
  <c r="F8" i="4"/>
  <c r="G8" i="4"/>
  <c r="H8" i="4"/>
  <c r="I8" i="4"/>
  <c r="J8" i="4"/>
  <c r="K8" i="4"/>
  <c r="L8" i="4"/>
  <c r="C9" i="4"/>
  <c r="D9" i="4"/>
  <c r="E9" i="4"/>
  <c r="F9" i="4"/>
  <c r="G9" i="4"/>
  <c r="H9" i="4"/>
  <c r="I9" i="4"/>
  <c r="J9" i="4"/>
  <c r="K9" i="4"/>
  <c r="L9" i="4"/>
  <c r="C10" i="4"/>
  <c r="D10" i="4"/>
  <c r="E10" i="4"/>
  <c r="F10" i="4"/>
  <c r="C24" i="4" s="1"/>
  <c r="G10" i="4"/>
  <c r="H10" i="4"/>
  <c r="I10" i="4"/>
  <c r="J10" i="4"/>
  <c r="K10" i="4"/>
  <c r="L10" i="4"/>
  <c r="C11" i="4"/>
  <c r="D11" i="4"/>
  <c r="E11" i="4"/>
  <c r="F11" i="4"/>
  <c r="G11" i="4"/>
  <c r="H11" i="4"/>
  <c r="I11" i="4"/>
  <c r="J11" i="4"/>
  <c r="K11" i="4"/>
  <c r="L11" i="4"/>
  <c r="C12" i="4"/>
  <c r="D12" i="4"/>
  <c r="E12" i="4"/>
  <c r="F12" i="4"/>
  <c r="G12" i="4"/>
  <c r="H12" i="4"/>
  <c r="I12" i="4"/>
  <c r="J12" i="4"/>
  <c r="K12" i="4"/>
  <c r="L12" i="4"/>
  <c r="C13" i="4"/>
  <c r="D13" i="4"/>
  <c r="E13" i="4"/>
  <c r="F13" i="4"/>
  <c r="G13" i="4"/>
  <c r="H13" i="4"/>
  <c r="I13" i="4"/>
  <c r="J13" i="4"/>
  <c r="K13" i="4"/>
  <c r="L13" i="4"/>
  <c r="C14" i="4"/>
  <c r="D14" i="4"/>
  <c r="E14" i="4"/>
  <c r="F14" i="4"/>
  <c r="G14" i="4"/>
  <c r="H14" i="4"/>
  <c r="I14" i="4"/>
  <c r="J14" i="4"/>
  <c r="K14" i="4"/>
  <c r="L14" i="4"/>
  <c r="C15" i="4"/>
  <c r="D15" i="4"/>
  <c r="E15" i="4"/>
  <c r="F15" i="4"/>
  <c r="G15" i="4"/>
  <c r="H15" i="4"/>
  <c r="I15" i="4"/>
  <c r="J15" i="4"/>
  <c r="K15" i="4"/>
  <c r="L15" i="4"/>
  <c r="C16" i="4"/>
  <c r="D16" i="4"/>
  <c r="E16" i="4"/>
  <c r="F16" i="4"/>
  <c r="G16" i="4"/>
  <c r="H16" i="4"/>
  <c r="I16" i="4"/>
  <c r="J16" i="4"/>
  <c r="K16" i="4"/>
  <c r="L16" i="4"/>
  <c r="C17" i="4"/>
  <c r="D17" i="4"/>
  <c r="E17" i="4"/>
  <c r="F17" i="4"/>
  <c r="G17" i="4"/>
  <c r="H17" i="4"/>
  <c r="I17" i="4"/>
  <c r="J17" i="4"/>
  <c r="K17" i="4"/>
  <c r="L17" i="4"/>
  <c r="E30" i="4" l="1"/>
  <c r="C33" i="4"/>
  <c r="C32" i="4"/>
  <c r="C29" i="4"/>
  <c r="C28" i="4"/>
  <c r="G16" i="1" l="1"/>
  <c r="I6" i="2" l="1"/>
  <c r="J6" i="2" s="1"/>
  <c r="K6" i="2" s="1"/>
  <c r="I7" i="2"/>
  <c r="J7" i="2" s="1"/>
  <c r="K7" i="2" s="1"/>
  <c r="I8" i="2"/>
  <c r="J8" i="2" s="1"/>
  <c r="K8" i="2" s="1"/>
  <c r="I9" i="2"/>
  <c r="J9" i="2" s="1"/>
  <c r="K9" i="2" s="1"/>
  <c r="I10" i="2"/>
  <c r="J10" i="2" s="1"/>
  <c r="K10" i="2" s="1"/>
  <c r="I11" i="2"/>
  <c r="J11" i="2" s="1"/>
  <c r="K11" i="2" s="1"/>
  <c r="I12" i="2"/>
  <c r="J12" i="2" s="1"/>
  <c r="K12" i="2" s="1"/>
  <c r="I13" i="2"/>
  <c r="J13" i="2" s="1"/>
  <c r="K13" i="2" s="1"/>
  <c r="I14" i="2"/>
  <c r="J14" i="2" s="1"/>
  <c r="K14" i="2" s="1"/>
  <c r="I15" i="2"/>
  <c r="J15" i="2" s="1"/>
  <c r="K15" i="2" s="1"/>
  <c r="I16" i="2"/>
  <c r="J16" i="2" s="1"/>
  <c r="K16" i="2" s="1"/>
  <c r="I17" i="2"/>
  <c r="J17" i="2" s="1"/>
  <c r="K17" i="2" s="1"/>
  <c r="I18" i="2"/>
  <c r="J18" i="2" s="1"/>
  <c r="K18" i="2" s="1"/>
  <c r="I19" i="2"/>
  <c r="J19" i="2" s="1"/>
  <c r="K19" i="2" s="1"/>
  <c r="I20" i="2"/>
  <c r="J20" i="2" s="1"/>
  <c r="K20" i="2" s="1"/>
  <c r="I5" i="2"/>
  <c r="J5" i="2" s="1"/>
  <c r="K5" i="2" s="1"/>
</calcChain>
</file>

<file path=xl/sharedStrings.xml><?xml version="1.0" encoding="utf-8"?>
<sst xmlns="http://schemas.openxmlformats.org/spreadsheetml/2006/main" count="852" uniqueCount="249">
  <si>
    <t>კოდი</t>
  </si>
  <si>
    <t>სახელი</t>
  </si>
  <si>
    <t>გვარი</t>
  </si>
  <si>
    <t>ტელეფონი</t>
  </si>
  <si>
    <t>ელ-ფოსტა</t>
  </si>
  <si>
    <t>ხელფასი</t>
  </si>
  <si>
    <t>დამატებითი საათები</t>
  </si>
  <si>
    <t>საბოლოო ხელფასი</t>
  </si>
  <si>
    <t>თანამდებობა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</si>
  <si>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</si>
  <si>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</si>
  <si>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</si>
  <si>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</si>
  <si>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</si>
  <si>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</si>
  <si>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</si>
  <si>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</si>
  <si>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</si>
  <si>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</si>
  <si>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</si>
  <si>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</si>
  <si>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</si>
  <si>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</si>
  <si>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</si>
  <si>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</si>
  <si>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ანა</t>
  </si>
  <si>
    <t>ეკა</t>
  </si>
  <si>
    <t>გიო</t>
  </si>
  <si>
    <t>ნინო</t>
  </si>
  <si>
    <t>ლაშა</t>
  </si>
  <si>
    <t>სანდრო</t>
  </si>
  <si>
    <t>ელენე</t>
  </si>
  <si>
    <t>სოფო</t>
  </si>
  <si>
    <t>ბექა</t>
  </si>
  <si>
    <t>სალომე</t>
  </si>
  <si>
    <t>ირაკლი</t>
  </si>
  <si>
    <t>თამთა</t>
  </si>
  <si>
    <t>ვახო</t>
  </si>
  <si>
    <t>ნიკა</t>
  </si>
  <si>
    <t>დათო</t>
  </si>
  <si>
    <t>ლიკა</t>
  </si>
  <si>
    <t>ბირთველაძე</t>
  </si>
  <si>
    <t>ჭელიძე</t>
  </si>
  <si>
    <t>ბერიძე</t>
  </si>
  <si>
    <t>ჩხეიძე</t>
  </si>
  <si>
    <t>ასათიანი</t>
  </si>
  <si>
    <t>ჭინჭარაძე</t>
  </si>
  <si>
    <t>ქამანაშვილი</t>
  </si>
  <si>
    <t>ბერძენიშვილი</t>
  </si>
  <si>
    <t>არჩვაძე</t>
  </si>
  <si>
    <t>გუნცაძე</t>
  </si>
  <si>
    <t>ბარათაშვილი</t>
  </si>
  <si>
    <t>ნოზაძე</t>
  </si>
  <si>
    <t>აბაშიძე</t>
  </si>
  <si>
    <t>იორდანიშვილი</t>
  </si>
  <si>
    <t>შალიბაშვილი</t>
  </si>
  <si>
    <t>ვაშალომიძე</t>
  </si>
  <si>
    <t>მენეჯერი</t>
  </si>
  <si>
    <t>მოლარე</t>
  </si>
  <si>
    <t>კონსულტანტი</t>
  </si>
  <si>
    <t>ana12@gmail.com</t>
  </si>
  <si>
    <t>eka@gmail.com</t>
  </si>
  <si>
    <t>giooo@gmail.com</t>
  </si>
  <si>
    <t>nini22@mail.ru</t>
  </si>
  <si>
    <t>lasha@yahoo.com</t>
  </si>
  <si>
    <t>sandro@mail.ru</t>
  </si>
  <si>
    <t>elene@yahoo.com</t>
  </si>
  <si>
    <t>sofo@gmail.com</t>
  </si>
  <si>
    <t>beqa@gmail.com</t>
  </si>
  <si>
    <t>salome@mail.ru</t>
  </si>
  <si>
    <t>irakli@hotmail.com</t>
  </si>
  <si>
    <t>tamta@mail.ru</t>
  </si>
  <si>
    <t>vaxo@gmail.com</t>
  </si>
  <si>
    <t>nika@yahoo.com</t>
  </si>
  <si>
    <t>dato@mail.ru</t>
  </si>
  <si>
    <t>lika@gmail.com</t>
  </si>
  <si>
    <t>თანამშრომლის კოდი</t>
  </si>
  <si>
    <t>პროდუქტის კოდი</t>
  </si>
  <si>
    <t>კატეგორია</t>
  </si>
  <si>
    <t>ბრენდი</t>
  </si>
  <si>
    <t>პროდუქტის დასახელება</t>
  </si>
  <si>
    <t>ფასი</t>
  </si>
  <si>
    <t>რაოდენობა</t>
  </si>
  <si>
    <t>თვე/ბრენდი</t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</si>
  <si>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</si>
  <si>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</si>
  <si>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</si>
  <si>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</si>
  <si>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</si>
  <si>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</si>
  <si>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</si>
  <si>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</si>
  <si>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</si>
  <si>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ოქტომბერი</t>
  </si>
  <si>
    <t>ნოემბერი</t>
  </si>
  <si>
    <t>დეკემბერი</t>
  </si>
  <si>
    <t>გაყიდვის თარიღი</t>
  </si>
  <si>
    <t>გვარი სახელი</t>
  </si>
  <si>
    <t>კურსი</t>
  </si>
  <si>
    <t xml:space="preserve">პროექტის დასახელება: </t>
  </si>
  <si>
    <t>ამოცანა 1</t>
  </si>
  <si>
    <t>ამოცანა 2</t>
  </si>
  <si>
    <t>ამოცანა 3</t>
  </si>
  <si>
    <t>ამოცანა 4</t>
  </si>
  <si>
    <t>ამოცანა 5</t>
  </si>
  <si>
    <t>ტიტვინიძე ზურა</t>
  </si>
  <si>
    <t>ტექნიკის მაღაზია</t>
  </si>
  <si>
    <t>ა</t>
  </si>
  <si>
    <t>00012</t>
  </si>
  <si>
    <t>ზურა</t>
  </si>
  <si>
    <t>ტიტვინიძე</t>
  </si>
  <si>
    <t>zura--15@mail.ru</t>
  </si>
  <si>
    <t>თანამდებობები</t>
  </si>
  <si>
    <t>რა</t>
  </si>
  <si>
    <t>პროდუქტის კატეგორიები</t>
  </si>
  <si>
    <t>საყოფაცხოვრებო ტექნიკა</t>
  </si>
  <si>
    <t>ტელევიზორები</t>
  </si>
  <si>
    <t>კომპიუტერული ტექნიკა</t>
  </si>
  <si>
    <t>ტელეფონები</t>
  </si>
  <si>
    <t>ციფრული ტექნიკა</t>
  </si>
  <si>
    <t>წვრილმანი ტექნიკა</t>
  </si>
  <si>
    <t>000001</t>
  </si>
  <si>
    <t>000002</t>
  </si>
  <si>
    <t>000003</t>
  </si>
  <si>
    <t>000004</t>
  </si>
  <si>
    <t>000005</t>
  </si>
  <si>
    <t>000006</t>
  </si>
  <si>
    <t>000007</t>
  </si>
  <si>
    <t>000008</t>
  </si>
  <si>
    <t>000009</t>
  </si>
  <si>
    <t>000010</t>
  </si>
  <si>
    <t>000011</t>
  </si>
  <si>
    <t>000012</t>
  </si>
  <si>
    <t>000013</t>
  </si>
  <si>
    <t>000014</t>
  </si>
  <si>
    <t>მაცივარი</t>
  </si>
  <si>
    <t>SAMSUNG</t>
  </si>
  <si>
    <t>სარეცხი მანქანა</t>
  </si>
  <si>
    <t>INDESIT</t>
  </si>
  <si>
    <t>led ტელევიზორი</t>
  </si>
  <si>
    <t>ნოუთბუქი</t>
  </si>
  <si>
    <t>ACER</t>
  </si>
  <si>
    <t>პლანშეტური კომპიუტერი</t>
  </si>
  <si>
    <t>პრინტერი</t>
  </si>
  <si>
    <t>მონიტორი</t>
  </si>
  <si>
    <t>HP</t>
  </si>
  <si>
    <t>სახლის ტელეფონი</t>
  </si>
  <si>
    <t>Topcom</t>
  </si>
  <si>
    <t>nokia lumia 930</t>
  </si>
  <si>
    <t xml:space="preserve">samsung Galaxy S5 </t>
  </si>
  <si>
    <t>LENOVO A850 WHITE</t>
  </si>
  <si>
    <t>iphone 5</t>
  </si>
  <si>
    <t xml:space="preserve">ვიდეოკამერა </t>
  </si>
  <si>
    <t>Apple</t>
  </si>
  <si>
    <t>Lenovo</t>
  </si>
  <si>
    <t>Sony</t>
  </si>
  <si>
    <t>Panasonic</t>
  </si>
  <si>
    <t>Nokia</t>
  </si>
  <si>
    <t>ბრენდების_სია</t>
  </si>
  <si>
    <t>ღირებულება</t>
  </si>
  <si>
    <t>თვე</t>
  </si>
  <si>
    <t>მოგება</t>
  </si>
  <si>
    <t>2.</t>
  </si>
  <si>
    <t>3.</t>
  </si>
  <si>
    <t>4.</t>
  </si>
  <si>
    <t>5.</t>
  </si>
  <si>
    <t>6.</t>
  </si>
  <si>
    <t>s@mail.ru</t>
  </si>
  <si>
    <t>00011</t>
  </si>
  <si>
    <t>მომხმარებლის_კოდი</t>
  </si>
  <si>
    <t>შაფათავა</t>
  </si>
  <si>
    <t>ხიდეშელი</t>
  </si>
  <si>
    <t>nika12@gmail.com</t>
  </si>
  <si>
    <t>nino20@mail.ru</t>
  </si>
  <si>
    <t>salosalo@gmail.com</t>
  </si>
  <si>
    <t>ტრანსპორტირების ფასი</t>
  </si>
  <si>
    <t>პროდუქტების ფასი</t>
  </si>
  <si>
    <t>გადასახდელი თანხა</t>
  </si>
  <si>
    <t>00015</t>
  </si>
  <si>
    <t>ფოტოკამერა</t>
  </si>
  <si>
    <t>&gt;=130</t>
  </si>
  <si>
    <t>კვირის დღე</t>
  </si>
  <si>
    <t>ბონუსი</t>
  </si>
  <si>
    <t>ორშაბათი</t>
  </si>
  <si>
    <t>სამშაბათი</t>
  </si>
  <si>
    <t>ოთხშაბათი</t>
  </si>
  <si>
    <t>ხუთშაბათი</t>
  </si>
  <si>
    <t>პარასკევი</t>
  </si>
  <si>
    <t>Column Labels</t>
  </si>
  <si>
    <t>Grand Total</t>
  </si>
  <si>
    <t>Row Labels</t>
  </si>
  <si>
    <t>Sum of ხელფასი</t>
  </si>
  <si>
    <t>ბონუსები</t>
  </si>
  <si>
    <t>სთ</t>
  </si>
  <si>
    <t>%</t>
  </si>
  <si>
    <t>მენეჯერი Total</t>
  </si>
  <si>
    <t>მოლარე Total</t>
  </si>
  <si>
    <t>კონსულტანტი Total</t>
  </si>
  <si>
    <t>&gt;=3000</t>
  </si>
  <si>
    <t>&gt;5</t>
  </si>
  <si>
    <t>sumifs</t>
  </si>
  <si>
    <t>ტელეფონი ან ციფრული ტექნიკა</t>
  </si>
  <si>
    <t>ბაზაში ასეთ ჩანაწერების რაოდენობა</t>
  </si>
  <si>
    <t>დღე</t>
  </si>
  <si>
    <t>წელი</t>
  </si>
  <si>
    <t>თარიღი</t>
  </si>
  <si>
    <t>კვირის მერამდენე დღეა</t>
  </si>
  <si>
    <t>რა დღეა</t>
  </si>
  <si>
    <t>დასვენების დღეები</t>
  </si>
  <si>
    <t>დასაწყისი</t>
  </si>
  <si>
    <t>დასასრული</t>
  </si>
  <si>
    <t>წუთი</t>
  </si>
  <si>
    <t>საათი</t>
  </si>
  <si>
    <t>წამი</t>
  </si>
  <si>
    <t>კომპიუტერული</t>
  </si>
  <si>
    <t>მეცნიერებები</t>
  </si>
  <si>
    <t>sony</t>
  </si>
  <si>
    <t>asdnskja jksa</t>
  </si>
  <si>
    <t>ზუსტი და საბუნებისმეტყველო მეცნიერებები</t>
  </si>
  <si>
    <t>ღირებულება&gt;=500</t>
  </si>
  <si>
    <t>ფასი &lt;=1500</t>
  </si>
  <si>
    <t>ორივე პირობა ერთად</t>
  </si>
  <si>
    <t>მათი საწინააღმდეგო</t>
  </si>
  <si>
    <t>or</t>
  </si>
  <si>
    <t>მოდულის გამოთვლა</t>
  </si>
  <si>
    <t>ფაქტორიალის გამოთვლა</t>
  </si>
  <si>
    <t>pi</t>
  </si>
  <si>
    <t>ფესვის ამოღება</t>
  </si>
  <si>
    <t>ხარისხში აყვანა</t>
  </si>
  <si>
    <t>რადიანის გრადუსებში გადავანა</t>
  </si>
  <si>
    <t>გრადუსების რადიანებში გადაყვანა</t>
  </si>
  <si>
    <t>abs</t>
  </si>
  <si>
    <t>fact</t>
  </si>
  <si>
    <t>pi()</t>
  </si>
  <si>
    <t>sqrt()</t>
  </si>
  <si>
    <t>power()</t>
  </si>
  <si>
    <t>degrees()</t>
  </si>
  <si>
    <t>radians()</t>
  </si>
  <si>
    <t>CELL("row";D201)</t>
  </si>
  <si>
    <t>ვიღებთ მითითებული უჯრის რიგის ნომერს</t>
  </si>
  <si>
    <t>ვიღებთ მითითებული უჯრის სვეტის ნომერს</t>
  </si>
  <si>
    <t>ვიღებთ მითითებული უჯრის შიგთავსის შესახებ ინფორმაციას. აბრუნებს b თუ უჯრა თავისუფალია, v თუ უჯრაში წერია ციფრები და I თუ უჯრაში წერია ტექსტი</t>
  </si>
  <si>
    <t>"ასდსად"</t>
  </si>
  <si>
    <t>CELL("type";D203)</t>
  </si>
  <si>
    <t>ვიღებთ მითითებული უჯრის სიგრძეს</t>
  </si>
  <si>
    <t>CELL("width";D203)</t>
  </si>
  <si>
    <t>ვიღებთ მითითებული უჯრის შიგთავსს</t>
  </si>
  <si>
    <t>CELL("contents";D203)</t>
  </si>
  <si>
    <t>&gt;=1000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</si>
</sst>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Sylfaen"/>
      <family val="2"/>
      <scheme val="minor"/>
    </font>
    <font>
      <u/>
      <sz val="11"/>
      <color theme="10"/>
      <name val="Sylfaen"/>
      <family val="2"/>
      <scheme val="minor"/>
    </font>
    <font>
      <sz val="11"/>
      <color rgb="FF3B3B3B"/>
      <name val="Arial"/>
      <family val="2"/>
    </font>
    <font>
      <sz val="11"/>
      <color rgb="FF000000"/>
      <name val="Arial"/>
      <family val="2"/>
    </font>
    <font>
      <sz val="11"/>
      <name val="Sylfaen"/>
      <family val="2"/>
      <scheme val="minor"/>
    </font>
    <font>
      <b/>
      <sz val="11"/>
      <color theme="1"/>
      <name val="Sylfaen"/>
      <family val="2"/>
      <scheme val="minor"/>
    </font>
    <font>
      <sz val="11"/>
      <color rgb="FF444444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ed">
        <color rgb="FFBBBBBB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/>
    <xf numFmtId="0" fontId="1" fillId="0" borderId="0" xfId="1"/>
    <xf numFmtId="0" fontId="0" fillId="2" borderId="1" xfId="0" applyFill="1" applyBorder="1"/>
    <xf numFmtId="0" fontId="0" fillId="2" borderId="1" xfId="0" applyFill="1" applyBorder="1" applyAlignment="1">
      <alignment wrapText="1"/>
    </xf>
    <xf numFmtId="49" fontId="0" fillId="0" borderId="0" xfId="0" applyNumberFormat="1" applyAlignment="1">
      <alignment wrapText="1"/>
    </xf>
    <xf numFmtId="0" fontId="3" fillId="0" borderId="0" xfId="0" applyFont="1"/>
    <xf numFmtId="0" fontId="0" fillId="3" borderId="0" xfId="0" applyFill="1"/>
    <xf numFmtId="0" fontId="0" fillId="2" borderId="0" xfId="0" applyFill="1"/>
    <xf numFmtId="0" fontId="0" fillId="4" borderId="0" xfId="0" applyFill="1"/>
    <xf numFmtId="22" fontId="0" fillId="4" borderId="0" xfId="0" applyNumberFormat="1" applyFill="1"/>
    <xf numFmtId="0" fontId="0" fillId="2" borderId="3" xfId="0" applyFill="1" applyBorder="1"/>
    <xf numFmtId="0" fontId="0" fillId="5" borderId="0" xfId="0" applyFill="1"/>
    <xf numFmtId="0" fontId="4" fillId="6" borderId="0" xfId="0" applyFont="1" applyFill="1"/>
    <xf numFmtId="49" fontId="0" fillId="2" borderId="0" xfId="0" applyNumberFormat="1" applyFill="1" applyAlignment="1">
      <alignment wrapText="1"/>
    </xf>
    <xf numFmtId="0" fontId="0" fillId="7" borderId="0" xfId="0" applyFill="1"/>
    <xf numFmtId="49" fontId="0" fillId="7" borderId="0" xfId="0" applyNumberFormat="1" applyFill="1"/>
    <xf numFmtId="0" fontId="0" fillId="0" borderId="0" xfId="0" applyProtection="1">
      <protection locked="0"/>
    </xf>
    <xf numFmtId="49" fontId="0" fillId="4" borderId="0" xfId="0" applyNumberFormat="1" applyFill="1" applyProtection="1">
      <protection locked="0"/>
    </xf>
    <xf numFmtId="0" fontId="0" fillId="4" borderId="0" xfId="0" applyFill="1" applyProtection="1">
      <protection locked="0"/>
    </xf>
    <xf numFmtId="0" fontId="0" fillId="2" borderId="0" xfId="0" applyFill="1" applyAlignment="1">
      <alignment wrapText="1"/>
    </xf>
    <xf numFmtId="0" fontId="2" fillId="0" borderId="0" xfId="0" applyFont="1" applyBorder="1" applyAlignment="1">
      <alignment vertical="center" wrapText="1"/>
    </xf>
    <xf numFmtId="0" fontId="0" fillId="0" borderId="2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9" fontId="0" fillId="0" borderId="0" xfId="0" applyNumberFormat="1"/>
    <xf numFmtId="0" fontId="0" fillId="2" borderId="0" xfId="0" applyFill="1" applyAlignment="1">
      <alignment horizontal="center"/>
    </xf>
    <xf numFmtId="9" fontId="0" fillId="2" borderId="0" xfId="0" applyNumberFormat="1" applyFill="1"/>
    <xf numFmtId="0" fontId="5" fillId="0" borderId="0" xfId="0" applyFont="1"/>
    <xf numFmtId="0" fontId="0" fillId="2" borderId="0" xfId="0" applyNumberFormat="1" applyFill="1"/>
    <xf numFmtId="14" fontId="0" fillId="0" borderId="0" xfId="0" applyNumberFormat="1"/>
    <xf numFmtId="14" fontId="0" fillId="2" borderId="0" xfId="0" applyNumberFormat="1" applyFill="1"/>
    <xf numFmtId="18" fontId="0" fillId="2" borderId="0" xfId="0" applyNumberFormat="1" applyFill="1"/>
    <xf numFmtId="22" fontId="0" fillId="2" borderId="0" xfId="0" applyNumberFormat="1" applyFill="1"/>
    <xf numFmtId="0" fontId="6" fillId="0" borderId="0" xfId="0" applyFont="1"/>
    <xf numFmtId="0" fontId="0" fillId="4" borderId="0" xfId="0" applyNumberFormat="1" applyFill="1"/>
    <xf numFmtId="14" fontId="0" fillId="4" borderId="0" xfId="0" applyNumberFormat="1" applyFill="1"/>
    <xf numFmtId="20" fontId="0" fillId="4" borderId="0" xfId="0" applyNumberFormat="1" applyFill="1"/>
  </cellXfs>
  <cellStyles count="2">
    <cellStyle name="Hyperlink" xfId="1" builtinId="8"/>
    <cellStyle name="Normal" xfId="0" builtinId="0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fgColor rgb="FFFFC000"/>
          <bgColor rgb="FF00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[titvinidze_zura_proeqti.xlsx]pivod table და subtotal!PivotTable1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'pivod table და subtotal'!$O$34:$O$35</c:f>
              <c:strCache>
                <c:ptCount val="1"/>
                <c:pt idx="0">
                  <c:v>ორშაბათი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'pivod table და subtotal'!$N$36:$N$45</c:f>
              <c:strCache>
                <c:ptCount val="9"/>
                <c:pt idx="0">
                  <c:v>აბაშიძე</c:v>
                </c:pt>
                <c:pt idx="1">
                  <c:v>არჩვაძე</c:v>
                </c:pt>
                <c:pt idx="2">
                  <c:v>ბარათაშვილი</c:v>
                </c:pt>
                <c:pt idx="3">
                  <c:v>გუნცაძე</c:v>
                </c:pt>
                <c:pt idx="4">
                  <c:v>ვაშალომიძე</c:v>
                </c:pt>
                <c:pt idx="5">
                  <c:v>იორდანიშვილი</c:v>
                </c:pt>
                <c:pt idx="6">
                  <c:v>ნოზაძე</c:v>
                </c:pt>
                <c:pt idx="7">
                  <c:v>შალიბაშვილი</c:v>
                </c:pt>
                <c:pt idx="8">
                  <c:v>ჩხეიძე</c:v>
                </c:pt>
              </c:strCache>
            </c:strRef>
          </c:cat>
          <c:val>
            <c:numRef>
              <c:f>'pivod table და subtotal'!$O$36:$O$45</c:f>
              <c:numCache>
                <c:formatCode>General</c:formatCode>
                <c:ptCount val="9"/>
                <c:pt idx="1">
                  <c:v>700</c:v>
                </c:pt>
                <c:pt idx="8">
                  <c:v>650</c:v>
                </c:pt>
              </c:numCache>
            </c:numRef>
          </c:val>
        </c:ser>
        <c:ser>
          <c:idx val="1"/>
          <c:order val="1"/>
          <c:tx>
            <c:strRef>
              <c:f>'pivod table და subtotal'!$P$34:$P$35</c:f>
              <c:strCache>
                <c:ptCount val="1"/>
                <c:pt idx="0">
                  <c:v>სამშაბათი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'pivod table და subtotal'!$N$36:$N$45</c:f>
              <c:strCache>
                <c:ptCount val="9"/>
                <c:pt idx="0">
                  <c:v>აბაშიძე</c:v>
                </c:pt>
                <c:pt idx="1">
                  <c:v>არჩვაძე</c:v>
                </c:pt>
                <c:pt idx="2">
                  <c:v>ბარათაშვილი</c:v>
                </c:pt>
                <c:pt idx="3">
                  <c:v>გუნცაძე</c:v>
                </c:pt>
                <c:pt idx="4">
                  <c:v>ვაშალომიძე</c:v>
                </c:pt>
                <c:pt idx="5">
                  <c:v>იორდანიშვილი</c:v>
                </c:pt>
                <c:pt idx="6">
                  <c:v>ნოზაძე</c:v>
                </c:pt>
                <c:pt idx="7">
                  <c:v>შალიბაშვილი</c:v>
                </c:pt>
                <c:pt idx="8">
                  <c:v>ჩხეიძე</c:v>
                </c:pt>
              </c:strCache>
            </c:strRef>
          </c:cat>
          <c:val>
            <c:numRef>
              <c:f>'pivod table და subtotal'!$P$36:$P$45</c:f>
              <c:numCache>
                <c:formatCode>General</c:formatCode>
                <c:ptCount val="9"/>
                <c:pt idx="2">
                  <c:v>700</c:v>
                </c:pt>
                <c:pt idx="7">
                  <c:v>700</c:v>
                </c:pt>
              </c:numCache>
            </c:numRef>
          </c:val>
        </c:ser>
        <c:ser>
          <c:idx val="2"/>
          <c:order val="2"/>
          <c:tx>
            <c:strRef>
              <c:f>'pivod table და subtotal'!$Q$34:$Q$35</c:f>
              <c:strCache>
                <c:ptCount val="1"/>
                <c:pt idx="0">
                  <c:v>ოთხშაბათი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'pivod table და subtotal'!$N$36:$N$45</c:f>
              <c:strCache>
                <c:ptCount val="9"/>
                <c:pt idx="0">
                  <c:v>აბაშიძე</c:v>
                </c:pt>
                <c:pt idx="1">
                  <c:v>არჩვაძე</c:v>
                </c:pt>
                <c:pt idx="2">
                  <c:v>ბარათაშვილი</c:v>
                </c:pt>
                <c:pt idx="3">
                  <c:v>გუნცაძე</c:v>
                </c:pt>
                <c:pt idx="4">
                  <c:v>ვაშალომიძე</c:v>
                </c:pt>
                <c:pt idx="5">
                  <c:v>იორდანიშვილი</c:v>
                </c:pt>
                <c:pt idx="6">
                  <c:v>ნოზაძე</c:v>
                </c:pt>
                <c:pt idx="7">
                  <c:v>შალიბაშვილი</c:v>
                </c:pt>
                <c:pt idx="8">
                  <c:v>ჩხეიძე</c:v>
                </c:pt>
              </c:strCache>
            </c:strRef>
          </c:cat>
          <c:val>
            <c:numRef>
              <c:f>'pivod table და subtotal'!$Q$36:$Q$45</c:f>
              <c:numCache>
                <c:formatCode>General</c:formatCode>
                <c:ptCount val="9"/>
                <c:pt idx="6">
                  <c:v>650</c:v>
                </c:pt>
              </c:numCache>
            </c:numRef>
          </c:val>
        </c:ser>
        <c:ser>
          <c:idx val="3"/>
          <c:order val="3"/>
          <c:tx>
            <c:strRef>
              <c:f>'pivod table და subtotal'!$R$34:$R$35</c:f>
              <c:strCache>
                <c:ptCount val="1"/>
                <c:pt idx="0">
                  <c:v>ხუთშაბათი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'pivod table და subtotal'!$N$36:$N$45</c:f>
              <c:strCache>
                <c:ptCount val="9"/>
                <c:pt idx="0">
                  <c:v>აბაშიძე</c:v>
                </c:pt>
                <c:pt idx="1">
                  <c:v>არჩვაძე</c:v>
                </c:pt>
                <c:pt idx="2">
                  <c:v>ბარათაშვილი</c:v>
                </c:pt>
                <c:pt idx="3">
                  <c:v>გუნცაძე</c:v>
                </c:pt>
                <c:pt idx="4">
                  <c:v>ვაშალომიძე</c:v>
                </c:pt>
                <c:pt idx="5">
                  <c:v>იორდანიშვილი</c:v>
                </c:pt>
                <c:pt idx="6">
                  <c:v>ნოზაძე</c:v>
                </c:pt>
                <c:pt idx="7">
                  <c:v>შალიბაშვილი</c:v>
                </c:pt>
                <c:pt idx="8">
                  <c:v>ჩხეიძე</c:v>
                </c:pt>
              </c:strCache>
            </c:strRef>
          </c:cat>
          <c:val>
            <c:numRef>
              <c:f>'pivod table და subtotal'!$R$36:$R$45</c:f>
              <c:numCache>
                <c:formatCode>General</c:formatCode>
                <c:ptCount val="9"/>
                <c:pt idx="0">
                  <c:v>500</c:v>
                </c:pt>
                <c:pt idx="3">
                  <c:v>550</c:v>
                </c:pt>
              </c:numCache>
            </c:numRef>
          </c:val>
        </c:ser>
        <c:ser>
          <c:idx val="4"/>
          <c:order val="4"/>
          <c:tx>
            <c:strRef>
              <c:f>'pivod table და subtotal'!$S$34:$S$35</c:f>
              <c:strCache>
                <c:ptCount val="1"/>
                <c:pt idx="0">
                  <c:v>პარასკევი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'pivod table და subtotal'!$N$36:$N$45</c:f>
              <c:strCache>
                <c:ptCount val="9"/>
                <c:pt idx="0">
                  <c:v>აბაშიძე</c:v>
                </c:pt>
                <c:pt idx="1">
                  <c:v>არჩვაძე</c:v>
                </c:pt>
                <c:pt idx="2">
                  <c:v>ბარათაშვილი</c:v>
                </c:pt>
                <c:pt idx="3">
                  <c:v>გუნცაძე</c:v>
                </c:pt>
                <c:pt idx="4">
                  <c:v>ვაშალომიძე</c:v>
                </c:pt>
                <c:pt idx="5">
                  <c:v>იორდანიშვილი</c:v>
                </c:pt>
                <c:pt idx="6">
                  <c:v>ნოზაძე</c:v>
                </c:pt>
                <c:pt idx="7">
                  <c:v>შალიბაშვილი</c:v>
                </c:pt>
                <c:pt idx="8">
                  <c:v>ჩხეიძე</c:v>
                </c:pt>
              </c:strCache>
            </c:strRef>
          </c:cat>
          <c:val>
            <c:numRef>
              <c:f>'pivod table და subtotal'!$S$36:$S$45</c:f>
              <c:numCache>
                <c:formatCode>General</c:formatCode>
                <c:ptCount val="9"/>
                <c:pt idx="4">
                  <c:v>750</c:v>
                </c:pt>
                <c:pt idx="5">
                  <c:v>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113723792"/>
        <c:axId val="-217412384"/>
        <c:axId val="0"/>
      </c:bar3DChart>
      <c:catAx>
        <c:axId val="-211372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a-GE"/>
          </a:p>
        </c:txPr>
        <c:crossAx val="-217412384"/>
        <c:crosses val="autoZero"/>
        <c:auto val="1"/>
        <c:lblAlgn val="ctr"/>
        <c:lblOffset val="100"/>
        <c:noMultiLvlLbl val="0"/>
      </c:catAx>
      <c:valAx>
        <c:axId val="-2174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a-GE"/>
          </a:p>
        </c:txPr>
        <c:crossAx val="-2113723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a-G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a-G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4311;&#4304;&#4316;&#4304;&#4315;&#4328;&#4320;&#4317;&#4315;&#4314;&#4308;&#4305;&#4312;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&#4304;&#4315;&#4317;&#4330;&#4304;&#4316;&#4304; 5'!A1"/><Relationship Id="rId1" Type="http://schemas.openxmlformats.org/officeDocument/2006/relationships/hyperlink" Target="#&#4315;&#4317;&#4315;&#4334;&#4315;&#4304;&#4320;&#4308;&#4305;&#4314;&#4308;&#4305;&#4312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&#4306;&#4304;&#4312;&#4307;&#4323;&#4314;&#4312; &#4318;&#4320;&#4317;&#4307;&#4323;&#4325;&#4330;&#4312;&#4304;(&#4304;&#4315;&#4317;&#4330;&#4304;&#4316;&#4304;2)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&#4318;&#4320;&#4317;&#4307;&#4323;&#4325;&#4322;&#4312;(&#4324;&#4312;&#4314;&#4322;&#4320;&#4304;&#4330;&#4312;&#4304;)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ivod table &#4307;&#4304; subtotal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'&#4318;&#4320;&#4317;&#4307;&#4323;&#4325;&#4322;&#4312;(&#4304;&#4315;&#4317;&#4330;&#4304;&#4316;&#4304;4)'!A1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4311;&#4304;&#4316;&#4304;&#4315;&#4328;&#4320;&#4317;&#4315;&#4314;&#4308;&#4305;&#431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676275</xdr:colOff>
      <xdr:row>6</xdr:row>
      <xdr:rowOff>180975</xdr:rowOff>
    </xdr:from>
    <xdr:to>
      <xdr:col>16</xdr:col>
      <xdr:colOff>323850</xdr:colOff>
      <xdr:row>31</xdr:row>
      <xdr:rowOff>19050</xdr:rowOff>
    </xdr:to>
    <xdr:sp macro="" textlink="">
      <xdr:nvSpPr>
        <xdr:cNvPr id="2" name="TextBox 1"/>
        <xdr:cNvSpPr txBox="1"/>
      </xdr:nvSpPr>
      <xdr:spPr>
        <a:xfrm>
          <a:off x="9620250" y="1323975"/>
          <a:ext cx="2390775" cy="460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1)</a:t>
          </a:r>
          <a:r>
            <a:rPr lang="ka-GE" sz="1100"/>
            <a:t>თვის და ბრენდის ამორჩევით მოგების</a:t>
          </a:r>
          <a:r>
            <a:rPr lang="ka-GE" sz="1100" baseline="0"/>
            <a:t> ნახვა</a:t>
          </a:r>
          <a:endParaRPr lang="en-US" sz="1100" baseline="0"/>
        </a:p>
        <a:p>
          <a:r>
            <a:rPr lang="en-US" sz="1100" baseline="0"/>
            <a:t>2)</a:t>
          </a:r>
          <a:r>
            <a:rPr lang="ka-GE" sz="1100" baseline="0"/>
            <a:t>გვაინტერესებს იანვრის თვის იმ მოგებების ჯამი რომლებიც &gt;=2000;</a:t>
          </a:r>
        </a:p>
        <a:p>
          <a:r>
            <a:rPr lang="ka-GE" sz="1100" baseline="0"/>
            <a:t>3)გვაინტერესებს როდის მოგვცა ყველაზე დიდი მოგება </a:t>
          </a:r>
          <a:r>
            <a:rPr lang="en-US" sz="1100" baseline="0"/>
            <a:t>SAMSUNG</a:t>
          </a:r>
          <a:r>
            <a:rPr lang="ka-GE" sz="1100" baseline="0"/>
            <a:t>-ის ფირმის პროდუქციამ</a:t>
          </a:r>
        </a:p>
        <a:p>
          <a:r>
            <a:rPr lang="ka-GE" sz="1100" baseline="0"/>
            <a:t>4)თვის მითითებით ამ თვეში მიღებული მოგებების ჯამის გაგება</a:t>
          </a:r>
        </a:p>
        <a:p>
          <a:r>
            <a:rPr lang="en-US" sz="1100" baseline="0"/>
            <a:t>5</a:t>
          </a:r>
          <a:r>
            <a:rPr lang="ka-GE" sz="1100" baseline="0"/>
            <a:t>)რამდენმა ფირმამ მოიტანა 2000 ლარზე მეტი შემოსავალი იანვრის თვეში?</a:t>
          </a:r>
          <a:endParaRPr lang="en-US" sz="1100" baseline="0"/>
        </a:p>
        <a:p>
          <a:r>
            <a:rPr lang="en-US" sz="1100" baseline="0"/>
            <a:t>6) </a:t>
          </a:r>
          <a:r>
            <a:rPr lang="ka-GE" sz="1100" baseline="0"/>
            <a:t>გვაინტერესებს </a:t>
          </a:r>
          <a:r>
            <a:rPr lang="en-US" sz="1100" baseline="0"/>
            <a:t>Nokia, Lenovo, Apple-</a:t>
          </a:r>
          <a:r>
            <a:rPr lang="ka-GE" sz="1100" baseline="0"/>
            <a:t>ს შემოსავლების ჯამი სექტემბერი, ოქტომბერი, ნოემბრის თვეებში</a:t>
          </a:r>
        </a:p>
        <a:p>
          <a:endParaRPr lang="ka-GE" sz="1100" baseline="0"/>
        </a:p>
        <a:p>
          <a:endParaRPr lang="ka-GE" sz="1100" baseline="0"/>
        </a:p>
        <a:p>
          <a:endParaRPr lang="ka-GE" sz="1100"/>
        </a:p>
      </xdr:txBody>
    </xdr:sp>
    <xdr:clientData/>
  </xdr:twoCellAnchor>
  <xdr:twoCellAnchor>
    <xdr:from>
      <xdr:col>16</xdr:col>
      <xdr:colOff>638175</xdr:colOff>
      <xdr:row>9</xdr:row>
      <xdr:rowOff>85725</xdr:rowOff>
    </xdr:from>
    <xdr:to>
      <xdr:col>28</xdr:col>
      <xdr:colOff>485042</xdr:colOff>
      <xdr:row>17</xdr:row>
      <xdr:rowOff>0</xdr:rowOff>
    </xdr:to>
    <xdr:sp macro="" textlink="">
      <xdr:nvSpPr>
        <xdr:cNvPr id="3" name="TextBox 2"/>
        <xdr:cNvSpPr txBox="1"/>
      </xdr:nvSpPr>
      <xdr:spPr>
        <a:xfrm>
          <a:off x="12325350" y="1800225"/>
          <a:ext cx="8076467" cy="1438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a-GE" sz="1100"/>
            <a:t>სახელების მენეჯერი, </a:t>
          </a:r>
          <a:r>
            <a:rPr lang="en-US" sz="1100"/>
            <a:t>DATA VALIDATION, </a:t>
          </a:r>
          <a:r>
            <a:rPr lang="ka-GE" sz="1100"/>
            <a:t> ფუნქციები: </a:t>
          </a:r>
          <a:r>
            <a:rPr lang="en-US" sz="1100"/>
            <a:t>index,</a:t>
          </a:r>
          <a:r>
            <a:rPr lang="en-US" sz="1100" baseline="0"/>
            <a:t> sum(index()),match, offset,  count, counta</a:t>
          </a:r>
          <a:r>
            <a:rPr lang="ka-GE" sz="1100" baseline="0"/>
            <a:t>, </a:t>
          </a:r>
          <a:r>
            <a:rPr lang="en-US" sz="1100" baseline="0"/>
            <a:t>ifferror</a:t>
          </a:r>
        </a:p>
        <a:p>
          <a:endParaRPr lang="en-US" sz="1100" baseline="0"/>
        </a:p>
        <a:p>
          <a:r>
            <a:rPr lang="ka-GE" sz="1100" baseline="0"/>
            <a:t>ამოცანა: პირობის გათვალისწინებით მატრიციდან სვეტისა და რიგის ნომრის გადაცემით უნდა ბრუნდებოდეს მატრიცის ელემენტი. სვეტისა და რიგის  გადაცემა უნდა ხდებოდეს განშლადი სიის გამოყენებით, განშლადი სიები უნდა იყოს დინამიური,  სახელდარქმეული დიაპაზონები.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VALIDATION</a:t>
          </a:r>
          <a:r>
            <a:rPr lang="ka-G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ერთ</a:t>
          </a:r>
          <a:r>
            <a:rPr lang="ka-G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მაგალითში მაინც უნდა იყოს სრულყოფილად დამუშავებული.</a:t>
          </a:r>
          <a:endParaRPr lang="en-US" sz="1100"/>
        </a:p>
      </xdr:txBody>
    </xdr:sp>
    <xdr:clientData/>
  </xdr:twoCellAnchor>
  <xdr:twoCellAnchor>
    <xdr:from>
      <xdr:col>11</xdr:col>
      <xdr:colOff>609600</xdr:colOff>
      <xdr:row>35</xdr:row>
      <xdr:rowOff>57150</xdr:rowOff>
    </xdr:from>
    <xdr:to>
      <xdr:col>14</xdr:col>
      <xdr:colOff>666750</xdr:colOff>
      <xdr:row>42</xdr:row>
      <xdr:rowOff>123825</xdr:rowOff>
    </xdr:to>
    <xdr:sp macro="" textlink="">
      <xdr:nvSpPr>
        <xdr:cNvPr id="4" name="Notched Right Arrow 3">
          <a:hlinkClick xmlns:r="http://schemas.openxmlformats.org/officeDocument/2006/relationships" r:id="rId1"/>
        </xdr:cNvPr>
        <xdr:cNvSpPr/>
      </xdr:nvSpPr>
      <xdr:spPr>
        <a:xfrm>
          <a:off x="8867775" y="6724650"/>
          <a:ext cx="2114550" cy="140017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a-GE" sz="1100"/>
            <a:t>შემდეგი</a:t>
          </a:r>
          <a:r>
            <a:rPr lang="ka-GE" sz="1100" baseline="0"/>
            <a:t> გვერდი</a:t>
          </a:r>
          <a:endParaRPr lang="ka-G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276225</xdr:colOff>
      <xdr:row>11</xdr:row>
      <xdr:rowOff>85724</xdr:rowOff>
    </xdr:from>
    <xdr:to>
      <xdr:col>18</xdr:col>
      <xdr:colOff>19050</xdr:colOff>
      <xdr:row>29</xdr:row>
      <xdr:rowOff>104775</xdr:rowOff>
    </xdr:to>
    <xdr:sp macro="" textlink="">
      <xdr:nvSpPr>
        <xdr:cNvPr id="2" name="TextBox 1"/>
        <xdr:cNvSpPr txBox="1"/>
      </xdr:nvSpPr>
      <xdr:spPr>
        <a:xfrm>
          <a:off x="14211300" y="2371724"/>
          <a:ext cx="2486025" cy="34480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a-GE" sz="1100"/>
            <a:t>1)თანამშრომლის</a:t>
          </a:r>
          <a:r>
            <a:rPr lang="ka-GE" sz="1100" baseline="0"/>
            <a:t> კოდი შედგება მხოლოდ რიცხვებისგან და დაცულია დუბლიკატებისგან(უნიკალურია)</a:t>
          </a:r>
          <a:endParaRPr lang="en-US" sz="1100" baseline="0"/>
        </a:p>
        <a:p>
          <a:r>
            <a:rPr lang="en-US" sz="1100" baseline="0"/>
            <a:t>2)</a:t>
          </a:r>
          <a:r>
            <a:rPr lang="ka-GE" sz="1100" baseline="0"/>
            <a:t>სახელები არის დინამიური</a:t>
          </a:r>
        </a:p>
        <a:p>
          <a:r>
            <a:rPr lang="en-US" sz="1100"/>
            <a:t>3)</a:t>
          </a:r>
          <a:r>
            <a:rPr lang="ka-GE" sz="1100"/>
            <a:t>თანამდებობა</a:t>
          </a:r>
          <a:r>
            <a:rPr lang="ka-GE" sz="1100" baseline="0"/>
            <a:t> სვეტი არის დინამიური და მონაცემებს იღებს თანამდებობები სვეტიდან.</a:t>
          </a:r>
          <a:endParaRPr lang="en-US" sz="1100" baseline="0"/>
        </a:p>
        <a:p>
          <a:r>
            <a:rPr lang="en-US" sz="1100" baseline="0"/>
            <a:t>4)</a:t>
          </a:r>
          <a:r>
            <a:rPr lang="ka-GE" sz="1100" baseline="0"/>
            <a:t>ტელეფონის ნომერს აქვს ვალიდაცია.(მობილურის ან სახლის</a:t>
          </a:r>
          <a:r>
            <a:rPr lang="en-US" sz="1100" baseline="0"/>
            <a:t>, </a:t>
          </a:r>
          <a:r>
            <a:rPr lang="ka-GE" sz="1100" baseline="0"/>
            <a:t>ინდექსების გათვალისწინებით).</a:t>
          </a:r>
          <a:endParaRPr lang="en-US" sz="1100" baseline="0"/>
        </a:p>
        <a:p>
          <a:r>
            <a:rPr lang="en-US" sz="1100" baseline="0"/>
            <a:t>5)</a:t>
          </a:r>
          <a:r>
            <a:rPr lang="ka-GE" sz="1100" baseline="0"/>
            <a:t>მეილის ვალიდაციის შემოწმება.</a:t>
          </a:r>
        </a:p>
        <a:p>
          <a:r>
            <a:rPr lang="ka-GE" sz="1100" baseline="0"/>
            <a:t>ასევე მეილის დუბლიკატებისგან დაცვა</a:t>
          </a:r>
          <a:endParaRPr lang="en-US" sz="1100" baseline="0"/>
        </a:p>
        <a:p>
          <a:r>
            <a:rPr lang="en-US" sz="1100" baseline="0"/>
            <a:t>6) </a:t>
          </a:r>
          <a:r>
            <a:rPr lang="ka-GE" sz="1100" baseline="0"/>
            <a:t>ბონუსების დასათვლელად გამოენებულია </a:t>
          </a:r>
          <a:r>
            <a:rPr lang="en-US" sz="1100" baseline="0"/>
            <a:t>hlookup</a:t>
          </a:r>
        </a:p>
        <a:p>
          <a:endParaRPr lang="ka-GE" sz="1100" baseline="0"/>
        </a:p>
        <a:p>
          <a:endParaRPr lang="ka-GE" sz="1100"/>
        </a:p>
      </xdr:txBody>
    </xdr:sp>
    <xdr:clientData/>
  </xdr:twoCellAnchor>
  <xdr:twoCellAnchor>
    <xdr:from>
      <xdr:col>10</xdr:col>
      <xdr:colOff>0</xdr:colOff>
      <xdr:row>30</xdr:row>
      <xdr:rowOff>0</xdr:rowOff>
    </xdr:from>
    <xdr:to>
      <xdr:col>11</xdr:col>
      <xdr:colOff>742950</xdr:colOff>
      <xdr:row>37</xdr:row>
      <xdr:rowOff>66675</xdr:rowOff>
    </xdr:to>
    <xdr:sp macro="" textlink="">
      <xdr:nvSpPr>
        <xdr:cNvPr id="3" name="Notched Right Arrow 2">
          <a:hlinkClick xmlns:r="http://schemas.openxmlformats.org/officeDocument/2006/relationships" r:id="rId1"/>
        </xdr:cNvPr>
        <xdr:cNvSpPr/>
      </xdr:nvSpPr>
      <xdr:spPr>
        <a:xfrm>
          <a:off x="10163175" y="5905500"/>
          <a:ext cx="2114550" cy="140017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a-GE" sz="1100"/>
            <a:t>შემდეგი</a:t>
          </a:r>
          <a:r>
            <a:rPr lang="ka-GE" sz="1100" baseline="0"/>
            <a:t> გვერდი</a:t>
          </a:r>
          <a:endParaRPr lang="ka-GE" sz="1100"/>
        </a:p>
      </xdr:txBody>
    </xdr:sp>
    <xdr:clientData/>
  </xdr:twoCellAnchor>
  <xdr:twoCellAnchor>
    <xdr:from>
      <xdr:col>20</xdr:col>
      <xdr:colOff>0</xdr:colOff>
      <xdr:row>15</xdr:row>
      <xdr:rowOff>0</xdr:rowOff>
    </xdr:from>
    <xdr:to>
      <xdr:col>31</xdr:col>
      <xdr:colOff>381000</xdr:colOff>
      <xdr:row>22</xdr:row>
      <xdr:rowOff>114300</xdr:rowOff>
    </xdr:to>
    <xdr:sp macro="" textlink="">
      <xdr:nvSpPr>
        <xdr:cNvPr id="4" name="TextBox 3"/>
        <xdr:cNvSpPr txBox="1"/>
      </xdr:nvSpPr>
      <xdr:spPr>
        <a:xfrm>
          <a:off x="18049875" y="3048000"/>
          <a:ext cx="8372475" cy="1447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Data</a:t>
          </a:r>
          <a:r>
            <a:rPr lang="en-US" sz="1100" baseline="0"/>
            <a:t> validation</a:t>
          </a:r>
        </a:p>
        <a:p>
          <a:endParaRPr lang="en-US" sz="1100" baseline="0"/>
        </a:p>
        <a:p>
          <a:r>
            <a:rPr lang="ka-GE" sz="1100" baseline="0"/>
            <a:t>ლოგიკური ფუნქციები, </a:t>
          </a:r>
          <a:r>
            <a:rPr lang="en-US" sz="1100" baseline="0"/>
            <a:t>custom validation - </a:t>
          </a:r>
          <a:r>
            <a:rPr lang="ka-GE" sz="1100" baseline="0"/>
            <a:t>ისეთი კომბინაციები, რომლებიც ჩვენ არ გამოგვიყენებია, პირობა ჩამოყალიბებული. გამოიყენეთ თარიღის, დროის, ტექსტის და სხვა ფუნქციები. მათ შორის </a:t>
          </a:r>
          <a:r>
            <a:rPr lang="en-US" sz="1100" baseline="0"/>
            <a:t>is.</a:t>
          </a:r>
          <a:r>
            <a:rPr lang="ka-GE" sz="1100" baseline="0"/>
            <a:t> გამოიყენეთ ლოგიკური ფუნქციები.</a:t>
          </a:r>
          <a:endParaRPr lang="en-US" sz="1100" baseline="0"/>
        </a:p>
        <a:p>
          <a:r>
            <a:rPr lang="en-US" sz="1100" baseline="0"/>
            <a:t> </a:t>
          </a:r>
        </a:p>
        <a:p>
          <a:r>
            <a:rPr lang="ka-GE" sz="1100" baseline="0"/>
            <a:t>რაოდენობა 6.</a:t>
          </a:r>
          <a:endParaRPr lang="en-US" sz="1100"/>
        </a:p>
      </xdr:txBody>
    </xdr:sp>
    <xdr:clientData/>
  </xdr:twoCellAnchor>
  <xdr:twoCellAnchor>
    <xdr:from>
      <xdr:col>10</xdr:col>
      <xdr:colOff>0</xdr:colOff>
      <xdr:row>42</xdr:row>
      <xdr:rowOff>0</xdr:rowOff>
    </xdr:from>
    <xdr:to>
      <xdr:col>11</xdr:col>
      <xdr:colOff>742950</xdr:colOff>
      <xdr:row>49</xdr:row>
      <xdr:rowOff>66675</xdr:rowOff>
    </xdr:to>
    <xdr:sp macro="" textlink="">
      <xdr:nvSpPr>
        <xdr:cNvPr id="5" name="Notched Right Arrow 4">
          <a:hlinkClick xmlns:r="http://schemas.openxmlformats.org/officeDocument/2006/relationships" r:id="rId2"/>
        </xdr:cNvPr>
        <xdr:cNvSpPr/>
      </xdr:nvSpPr>
      <xdr:spPr>
        <a:xfrm>
          <a:off x="10163175" y="8191500"/>
          <a:ext cx="2114550" cy="140017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a-GE" sz="1100"/>
            <a:t>შემდეგი</a:t>
          </a:r>
          <a:r>
            <a:rPr lang="ka-GE" sz="1100" baseline="0"/>
            <a:t> გვერდი</a:t>
          </a:r>
          <a:endParaRPr lang="ka-G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7</xdr:col>
      <xdr:colOff>228600</xdr:colOff>
      <xdr:row>22</xdr:row>
      <xdr:rowOff>66675</xdr:rowOff>
    </xdr:to>
    <xdr:sp macro="" textlink="">
      <xdr:nvSpPr>
        <xdr:cNvPr id="2" name="Notched Right Arrow 1">
          <a:hlinkClick xmlns:r="http://schemas.openxmlformats.org/officeDocument/2006/relationships" r:id="rId1"/>
        </xdr:cNvPr>
        <xdr:cNvSpPr/>
      </xdr:nvSpPr>
      <xdr:spPr>
        <a:xfrm>
          <a:off x="5810250" y="2857500"/>
          <a:ext cx="2114550" cy="140017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a-GE" sz="1100"/>
            <a:t>შემდეგი</a:t>
          </a:r>
          <a:r>
            <a:rPr lang="ka-GE" sz="1100" baseline="0"/>
            <a:t> გვერდი</a:t>
          </a:r>
          <a:endParaRPr lang="ka-GE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895350</xdr:colOff>
      <xdr:row>3</xdr:row>
      <xdr:rowOff>133350</xdr:rowOff>
    </xdr:from>
    <xdr:to>
      <xdr:col>22</xdr:col>
      <xdr:colOff>28575</xdr:colOff>
      <xdr:row>10</xdr:row>
      <xdr:rowOff>180975</xdr:rowOff>
    </xdr:to>
    <xdr:sp macro="" textlink="">
      <xdr:nvSpPr>
        <xdr:cNvPr id="2" name="TextBox 1"/>
        <xdr:cNvSpPr txBox="1"/>
      </xdr:nvSpPr>
      <xdr:spPr>
        <a:xfrm>
          <a:off x="12973050" y="704850"/>
          <a:ext cx="7905750" cy="1571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a-G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სახელების მენეჯერი,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VALIDATION</a:t>
          </a:r>
          <a:r>
            <a:rPr lang="ka-G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ფუნქციები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VLOOKUP</a:t>
          </a:r>
        </a:p>
        <a:p>
          <a:r>
            <a:rPr lang="ka-G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ცხრილების</a:t>
          </a:r>
          <a:r>
            <a:rPr lang="ka-G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დაკავშირება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VLOOKUP</a:t>
          </a:r>
          <a:r>
            <a:rPr lang="ka-G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ის</a:t>
          </a:r>
          <a:r>
            <a:rPr lang="ka-G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გამოყენებით, სულ მცირე სამი ცხრილის მონაცემები უნდა დაკავშირდეს მეოთხე ცხრილში. მაგ(სტუდენტი, ლექტორი,  საგანი  და გამოცდა) ცალკეული დასაკავშირებელი ცხრილები უნდა დამუშავდეს შესაბამისად სახელების მენეჯერის და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VALIDATION</a:t>
          </a:r>
          <a:r>
            <a:rPr lang="ka-G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ის გამოყენებით.</a:t>
          </a:r>
        </a:p>
        <a:p>
          <a:endParaRPr lang="ka-G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ka-G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ბოლო ცხრილი უნდა დამუშავდეს პრინტერისათვის (გამოყოფილი უნდა იყოს ბეჭდვის არე, დაცული უბნები (ფორმულები დაპაროლებული),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ka-G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დაცული</a:t>
          </a:r>
          <a:r>
            <a:rPr lang="ka-G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სამუშაო ფურცელი, დაცული დავთარი. </a:t>
          </a:r>
          <a:r>
            <a:rPr lang="ka-G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გვერდზე პოზიცირება უნდა იყოს უზრუნველყოფილი (თავსდებოდეს ერთ</a:t>
          </a:r>
          <a:r>
            <a:rPr lang="ka-G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გვერდზე (ნახ. ინვოისის ამოცანის ვიდეო ლექცია)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10</xdr:col>
      <xdr:colOff>647700</xdr:colOff>
      <xdr:row>22</xdr:row>
      <xdr:rowOff>85725</xdr:rowOff>
    </xdr:from>
    <xdr:to>
      <xdr:col>13</xdr:col>
      <xdr:colOff>628650</xdr:colOff>
      <xdr:row>28</xdr:row>
      <xdr:rowOff>9525</xdr:rowOff>
    </xdr:to>
    <xdr:sp macro="" textlink="">
      <xdr:nvSpPr>
        <xdr:cNvPr id="3" name="TextBox 2"/>
        <xdr:cNvSpPr txBox="1"/>
      </xdr:nvSpPr>
      <xdr:spPr>
        <a:xfrm>
          <a:off x="12725400" y="4657725"/>
          <a:ext cx="25812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a-GE" sz="1100"/>
            <a:t>1.ტრანსპორტირების</a:t>
          </a:r>
          <a:r>
            <a:rPr lang="ka-GE" sz="1100" baseline="0"/>
            <a:t> თანხა გამოითვლება პროდუქტის ფასის მიხედვით.</a:t>
          </a:r>
        </a:p>
        <a:p>
          <a:r>
            <a:rPr lang="ka-GE" sz="1100" baseline="0"/>
            <a:t>2. ბეჭდვის არე დაფიქსირებულია</a:t>
          </a:r>
        </a:p>
        <a:p>
          <a:r>
            <a:rPr lang="en-US" sz="1100" baseline="0"/>
            <a:t>3.</a:t>
          </a:r>
          <a:r>
            <a:rPr lang="ka-GE" sz="1100" baseline="0"/>
            <a:t>ფორმულები დაპაროლებულია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447675</xdr:colOff>
      <xdr:row>17</xdr:row>
      <xdr:rowOff>133350</xdr:rowOff>
    </xdr:from>
    <xdr:to>
      <xdr:col>21</xdr:col>
      <xdr:colOff>438150</xdr:colOff>
      <xdr:row>23</xdr:row>
      <xdr:rowOff>142874</xdr:rowOff>
    </xdr:to>
    <xdr:sp macro="" textlink="">
      <xdr:nvSpPr>
        <xdr:cNvPr id="3" name="TextBox 2"/>
        <xdr:cNvSpPr txBox="1"/>
      </xdr:nvSpPr>
      <xdr:spPr>
        <a:xfrm>
          <a:off x="11944350" y="3571875"/>
          <a:ext cx="9096375" cy="11525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a-GE" sz="1100"/>
            <a:t>მონაცემების დამუშავების შემდეგი მეთოდები: პირობითი ფორმატირება</a:t>
          </a:r>
          <a:r>
            <a:rPr lang="en-US" sz="1100"/>
            <a:t> (conditional Formating) </a:t>
          </a:r>
          <a:r>
            <a:rPr lang="ka-GE" sz="1100"/>
            <a:t>,</a:t>
          </a:r>
          <a:r>
            <a:rPr lang="ka-GE" sz="1100" baseline="0"/>
            <a:t> აუცილებლად </a:t>
          </a:r>
          <a:r>
            <a:rPr lang="ka-GE" sz="1100" baseline="0">
              <a:solidFill>
                <a:srgbClr val="FF0000"/>
              </a:solidFill>
            </a:rPr>
            <a:t>ფორმულით პირობითი ფორმატირება, </a:t>
          </a:r>
          <a:r>
            <a:rPr lang="ka-GE" sz="1100" baseline="0">
              <a:solidFill>
                <a:sysClr val="windowText" lastClr="000000"/>
              </a:solidFill>
            </a:rPr>
            <a:t>მონაცემების მრავალდონიანი სორტირება (სორტირებაში პირობითი ფორმატირების გამოყენება), ფილტრაცია </a:t>
          </a:r>
          <a:r>
            <a:rPr lang="en-US" sz="1100" baseline="0">
              <a:solidFill>
                <a:sysClr val="windowText" lastClr="000000"/>
              </a:solidFill>
            </a:rPr>
            <a:t> - ADVANCED , </a:t>
          </a:r>
          <a:r>
            <a:rPr lang="ka-GE" sz="1100" baseline="0">
              <a:solidFill>
                <a:sysClr val="windowText" lastClr="000000"/>
              </a:solidFill>
            </a:rPr>
            <a:t>მონაცემების დაჯგუება, </a:t>
          </a:r>
          <a:r>
            <a:rPr lang="en-US" sz="1100" baseline="0">
              <a:solidFill>
                <a:sysClr val="windowText" lastClr="000000"/>
              </a:solidFill>
            </a:rPr>
            <a:t>pivot table (</a:t>
          </a:r>
          <a:r>
            <a:rPr lang="ka-GE" sz="1100" baseline="0">
              <a:solidFill>
                <a:sysClr val="windowText" lastClr="000000"/>
              </a:solidFill>
            </a:rPr>
            <a:t>თუ ამოცანა არ იქნება ჩამოყალიბებული </a:t>
          </a:r>
          <a:r>
            <a:rPr lang="en-US" sz="1100" baseline="0">
              <a:solidFill>
                <a:sysClr val="windowText" lastClr="000000"/>
              </a:solidFill>
            </a:rPr>
            <a:t>PIVOT TABLE </a:t>
          </a:r>
          <a:r>
            <a:rPr lang="ka-GE" sz="1100" baseline="0">
              <a:solidFill>
                <a:sysClr val="windowText" lastClr="000000"/>
              </a:solidFill>
            </a:rPr>
            <a:t>- ის ცხრილები არ მიიღება</a:t>
          </a:r>
          <a:r>
            <a:rPr lang="en-US" sz="1100" baseline="0">
              <a:solidFill>
                <a:sysClr val="windowText" lastClr="000000"/>
              </a:solidFill>
            </a:rPr>
            <a:t>)</a:t>
          </a:r>
          <a:r>
            <a:rPr lang="ka-GE" sz="1100" baseline="0">
              <a:solidFill>
                <a:sysClr val="windowText" lastClr="000000"/>
              </a:solidFill>
            </a:rPr>
            <a:t>, </a:t>
          </a:r>
          <a:r>
            <a:rPr lang="en-US" sz="1100" baseline="0">
              <a:solidFill>
                <a:sysClr val="windowText" lastClr="000000"/>
              </a:solidFill>
            </a:rPr>
            <a:t>sub total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523875</xdr:colOff>
      <xdr:row>20</xdr:row>
      <xdr:rowOff>142875</xdr:rowOff>
    </xdr:from>
    <xdr:to>
      <xdr:col>9</xdr:col>
      <xdr:colOff>419100</xdr:colOff>
      <xdr:row>31</xdr:row>
      <xdr:rowOff>85725</xdr:rowOff>
    </xdr:to>
    <xdr:sp macro="" textlink="">
      <xdr:nvSpPr>
        <xdr:cNvPr id="4" name="TextBox 3"/>
        <xdr:cNvSpPr txBox="1"/>
      </xdr:nvSpPr>
      <xdr:spPr>
        <a:xfrm>
          <a:off x="8324850" y="4152900"/>
          <a:ext cx="2905125" cy="2038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1.</a:t>
          </a:r>
          <a:r>
            <a:rPr lang="ka-GE" sz="1100"/>
            <a:t>გამოვყოთ იმ</a:t>
          </a:r>
          <a:r>
            <a:rPr lang="ka-GE" sz="1100" baseline="0"/>
            <a:t> პროდუქტების დასახელება, რომელთა ღირებულებაც &gt;=500</a:t>
          </a:r>
          <a:r>
            <a:rPr lang="en-US" sz="1100" baseline="0"/>
            <a:t>, </a:t>
          </a:r>
          <a:r>
            <a:rPr lang="ka-GE" sz="1100" baseline="0"/>
            <a:t>ფასი &lt;=3000 და რაოდენობა &lt;10</a:t>
          </a:r>
          <a:r>
            <a:rPr lang="en-US" sz="1100" baseline="0"/>
            <a:t>(</a:t>
          </a:r>
          <a:r>
            <a:rPr lang="ka-GE" sz="1100" baseline="0"/>
            <a:t>სტაფილოსფრად)</a:t>
          </a:r>
        </a:p>
        <a:p>
          <a:r>
            <a:rPr lang="en-US" sz="1100"/>
            <a:t>2. </a:t>
          </a:r>
          <a:r>
            <a:rPr lang="ka-GE" sz="1100"/>
            <a:t>გამოყენებულია</a:t>
          </a:r>
          <a:r>
            <a:rPr lang="ka-GE" sz="1100" baseline="0"/>
            <a:t> მრავალდონიანი სორტირება.(კატეგორია,პროდუქტის დასახელება(პირობითი ფორმატირება),ღირებულება კლებადობით)</a:t>
          </a:r>
        </a:p>
        <a:p>
          <a:endParaRPr lang="ka-GE" sz="1100"/>
        </a:p>
      </xdr:txBody>
    </xdr:sp>
    <xdr:clientData/>
  </xdr:twoCellAnchor>
  <xdr:twoCellAnchor>
    <xdr:from>
      <xdr:col>6</xdr:col>
      <xdr:colOff>0</xdr:colOff>
      <xdr:row>35</xdr:row>
      <xdr:rowOff>0</xdr:rowOff>
    </xdr:from>
    <xdr:to>
      <xdr:col>7</xdr:col>
      <xdr:colOff>952500</xdr:colOff>
      <xdr:row>42</xdr:row>
      <xdr:rowOff>66675</xdr:rowOff>
    </xdr:to>
    <xdr:sp macro="" textlink="">
      <xdr:nvSpPr>
        <xdr:cNvPr id="5" name="Notched Right Arrow 4">
          <a:hlinkClick xmlns:r="http://schemas.openxmlformats.org/officeDocument/2006/relationships" r:id="rId1"/>
        </xdr:cNvPr>
        <xdr:cNvSpPr/>
      </xdr:nvSpPr>
      <xdr:spPr>
        <a:xfrm>
          <a:off x="7800975" y="6867525"/>
          <a:ext cx="2114550" cy="140017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a-GE" sz="1100"/>
            <a:t>შემდეგი</a:t>
          </a:r>
          <a:r>
            <a:rPr lang="ka-GE" sz="1100" baseline="0"/>
            <a:t> გვერდი</a:t>
          </a:r>
          <a:endParaRPr lang="ka-GE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14</xdr:row>
      <xdr:rowOff>123825</xdr:rowOff>
    </xdr:from>
    <xdr:to>
      <xdr:col>19</xdr:col>
      <xdr:colOff>619125</xdr:colOff>
      <xdr:row>20</xdr:row>
      <xdr:rowOff>123824</xdr:rowOff>
    </xdr:to>
    <xdr:sp macro="" textlink="">
      <xdr:nvSpPr>
        <xdr:cNvPr id="2" name="TextBox 1"/>
        <xdr:cNvSpPr txBox="1"/>
      </xdr:nvSpPr>
      <xdr:spPr>
        <a:xfrm>
          <a:off x="10753725" y="2981325"/>
          <a:ext cx="9096375" cy="11525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a-GE" sz="1100"/>
            <a:t>მონაცემების დამუშავების შემდეგი მეთოდები: პირობითი ფორმატირება</a:t>
          </a:r>
          <a:r>
            <a:rPr lang="en-US" sz="1100"/>
            <a:t> (conditional Formating) </a:t>
          </a:r>
          <a:r>
            <a:rPr lang="ka-GE" sz="1100"/>
            <a:t>,</a:t>
          </a:r>
          <a:r>
            <a:rPr lang="ka-GE" sz="1100" baseline="0"/>
            <a:t> აუცილებლად </a:t>
          </a:r>
          <a:r>
            <a:rPr lang="ka-GE" sz="1100" baseline="0">
              <a:solidFill>
                <a:srgbClr val="FF0000"/>
              </a:solidFill>
            </a:rPr>
            <a:t>ფორმულით პირობითი ფორმატირება, </a:t>
          </a:r>
          <a:r>
            <a:rPr lang="ka-GE" sz="1100" baseline="0">
              <a:solidFill>
                <a:sysClr val="windowText" lastClr="000000"/>
              </a:solidFill>
            </a:rPr>
            <a:t>მონაცემების მრავალდონიანი სორტირება (სორტირებაში პირობითი ფორმატირების გამოყენება), ფილტრაცია </a:t>
          </a:r>
          <a:r>
            <a:rPr lang="en-US" sz="1100" baseline="0">
              <a:solidFill>
                <a:sysClr val="windowText" lastClr="000000"/>
              </a:solidFill>
            </a:rPr>
            <a:t> - ADVANCED , </a:t>
          </a:r>
          <a:r>
            <a:rPr lang="ka-GE" sz="1100" baseline="0">
              <a:solidFill>
                <a:sysClr val="windowText" lastClr="000000"/>
              </a:solidFill>
            </a:rPr>
            <a:t>მონაცემების დაჯგუება, </a:t>
          </a:r>
          <a:r>
            <a:rPr lang="en-US" sz="1100" baseline="0">
              <a:solidFill>
                <a:sysClr val="windowText" lastClr="000000"/>
              </a:solidFill>
            </a:rPr>
            <a:t>pivot table (</a:t>
          </a:r>
          <a:r>
            <a:rPr lang="ka-GE" sz="1100" baseline="0">
              <a:solidFill>
                <a:sysClr val="windowText" lastClr="000000"/>
              </a:solidFill>
            </a:rPr>
            <a:t>თუ ამოცანა არ იქნება ჩამოყალიბებული </a:t>
          </a:r>
          <a:r>
            <a:rPr lang="en-US" sz="1100" baseline="0">
              <a:solidFill>
                <a:sysClr val="windowText" lastClr="000000"/>
              </a:solidFill>
            </a:rPr>
            <a:t>PIVOT TABLE </a:t>
          </a:r>
          <a:r>
            <a:rPr lang="ka-GE" sz="1100" baseline="0">
              <a:solidFill>
                <a:sysClr val="windowText" lastClr="000000"/>
              </a:solidFill>
            </a:rPr>
            <a:t>- ის ცხრილები არ მიიღება</a:t>
          </a:r>
          <a:r>
            <a:rPr lang="en-US" sz="1100" baseline="0">
              <a:solidFill>
                <a:sysClr val="windowText" lastClr="000000"/>
              </a:solidFill>
            </a:rPr>
            <a:t>)</a:t>
          </a:r>
          <a:r>
            <a:rPr lang="ka-GE" sz="1100" baseline="0">
              <a:solidFill>
                <a:sysClr val="windowText" lastClr="000000"/>
              </a:solidFill>
            </a:rPr>
            <a:t>, </a:t>
          </a:r>
          <a:r>
            <a:rPr lang="en-US" sz="1100" baseline="0">
              <a:solidFill>
                <a:sysClr val="windowText" lastClr="000000"/>
              </a:solidFill>
            </a:rPr>
            <a:t>sub total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285750</xdr:colOff>
      <xdr:row>21</xdr:row>
      <xdr:rowOff>57150</xdr:rowOff>
    </xdr:from>
    <xdr:to>
      <xdr:col>12</xdr:col>
      <xdr:colOff>1133475</xdr:colOff>
      <xdr:row>32</xdr:row>
      <xdr:rowOff>0</xdr:rowOff>
    </xdr:to>
    <xdr:sp macro="" textlink="">
      <xdr:nvSpPr>
        <xdr:cNvPr id="3" name="TextBox 2"/>
        <xdr:cNvSpPr txBox="1"/>
      </xdr:nvSpPr>
      <xdr:spPr>
        <a:xfrm>
          <a:off x="11096625" y="4257675"/>
          <a:ext cx="2905125" cy="2038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/>
            <a:t>advanced</a:t>
          </a:r>
          <a:r>
            <a:rPr lang="ka-GE" sz="1100" baseline="0"/>
            <a:t>-ის მეშვეობით მონაცემების ფილტრაცია რაღაც პირობების მიხედვით</a:t>
          </a:r>
        </a:p>
        <a:p>
          <a:endParaRPr lang="ka-GE" sz="1100" baseline="0"/>
        </a:p>
        <a:p>
          <a:endParaRPr lang="ka-GE" sz="1100"/>
        </a:p>
      </xdr:txBody>
    </xdr:sp>
    <xdr:clientData/>
  </xdr:twoCellAnchor>
  <xdr:twoCellAnchor>
    <xdr:from>
      <xdr:col>7</xdr:col>
      <xdr:colOff>0</xdr:colOff>
      <xdr:row>40</xdr:row>
      <xdr:rowOff>0</xdr:rowOff>
    </xdr:from>
    <xdr:to>
      <xdr:col>9</xdr:col>
      <xdr:colOff>266700</xdr:colOff>
      <xdr:row>47</xdr:row>
      <xdr:rowOff>66675</xdr:rowOff>
    </xdr:to>
    <xdr:sp macro="" textlink="">
      <xdr:nvSpPr>
        <xdr:cNvPr id="4" name="Notched Right Arrow 3">
          <a:hlinkClick xmlns:r="http://schemas.openxmlformats.org/officeDocument/2006/relationships" r:id="rId1"/>
        </xdr:cNvPr>
        <xdr:cNvSpPr/>
      </xdr:nvSpPr>
      <xdr:spPr>
        <a:xfrm>
          <a:off x="8963025" y="8201025"/>
          <a:ext cx="2114550" cy="140017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a-GE" sz="1100"/>
            <a:t>შემდეგი</a:t>
          </a:r>
          <a:r>
            <a:rPr lang="ka-GE" sz="1100" baseline="0"/>
            <a:t> გვერდი</a:t>
          </a:r>
          <a:endParaRPr lang="ka-GE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895350</xdr:colOff>
      <xdr:row>9</xdr:row>
      <xdr:rowOff>180974</xdr:rowOff>
    </xdr:from>
    <xdr:to>
      <xdr:col>20</xdr:col>
      <xdr:colOff>381000</xdr:colOff>
      <xdr:row>29</xdr:row>
      <xdr:rowOff>133349</xdr:rowOff>
    </xdr:to>
    <xdr:sp macro="" textlink="">
      <xdr:nvSpPr>
        <xdr:cNvPr id="2" name="TextBox 1"/>
        <xdr:cNvSpPr txBox="1"/>
      </xdr:nvSpPr>
      <xdr:spPr>
        <a:xfrm>
          <a:off x="17468850" y="1895474"/>
          <a:ext cx="2733675" cy="3000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a-GE" sz="1100"/>
            <a:t>1)</a:t>
          </a:r>
          <a:r>
            <a:rPr lang="en-US" sz="1100"/>
            <a:t>pivod table-</a:t>
          </a:r>
          <a:r>
            <a:rPr lang="ka-GE" sz="1100"/>
            <a:t>ს</a:t>
          </a:r>
          <a:r>
            <a:rPr lang="ka-GE" sz="1100" baseline="0"/>
            <a:t> გამოყენებით გავიგეთ რომელი თანამშრომელი რომელ დღეს მუშაობს. ასევე დავფილტრეთ თანამდებობების მიხედვით, გამოვიტანეთ მათი ხელფასები და ხელფასების ჯამი</a:t>
          </a:r>
          <a:r>
            <a:rPr lang="en-US" sz="1100" baseline="0"/>
            <a:t>.</a:t>
          </a:r>
          <a:r>
            <a:rPr lang="ka-GE" sz="1100" baseline="0"/>
            <a:t> შესაბამისი დიაგრამის გამოტანა</a:t>
          </a:r>
          <a:endParaRPr lang="en-US" sz="1100" baseline="0"/>
        </a:p>
        <a:p>
          <a:r>
            <a:rPr lang="en-US" sz="1100" baseline="0"/>
            <a:t>2.</a:t>
          </a:r>
          <a:r>
            <a:rPr lang="ka-GE" sz="1100" baseline="0"/>
            <a:t>გამოყენებულია </a:t>
          </a:r>
          <a:r>
            <a:rPr lang="en-US" sz="1100" baseline="0"/>
            <a:t>subtotal </a:t>
          </a:r>
          <a:r>
            <a:rPr lang="ka-GE" sz="1100" baseline="0"/>
            <a:t> და მონაცემები დაჯგუფებულია თანამდებობების მიხედვით და ვითვლით თითოეულ ჯგუფში დამატებითი საათების რაოდენობას და საბოლოო ხელფასების ჯამს</a:t>
          </a:r>
        </a:p>
        <a:p>
          <a:endParaRPr lang="ka-GE" sz="1100"/>
        </a:p>
      </xdr:txBody>
    </xdr:sp>
    <xdr:clientData/>
  </xdr:twoCellAnchor>
  <xdr:twoCellAnchor>
    <xdr:from>
      <xdr:col>13</xdr:col>
      <xdr:colOff>1104900</xdr:colOff>
      <xdr:row>46</xdr:row>
      <xdr:rowOff>100012</xdr:rowOff>
    </xdr:from>
    <xdr:to>
      <xdr:col>18</xdr:col>
      <xdr:colOff>466725</xdr:colOff>
      <xdr:row>60</xdr:row>
      <xdr:rowOff>176212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30</xdr:row>
      <xdr:rowOff>0</xdr:rowOff>
    </xdr:from>
    <xdr:to>
      <xdr:col>10</xdr:col>
      <xdr:colOff>57150</xdr:colOff>
      <xdr:row>37</xdr:row>
      <xdr:rowOff>66675</xdr:rowOff>
    </xdr:to>
    <xdr:sp macro="" textlink="">
      <xdr:nvSpPr>
        <xdr:cNvPr id="4" name="Notched Right Arrow 3">
          <a:hlinkClick xmlns:r="http://schemas.openxmlformats.org/officeDocument/2006/relationships" r:id="rId2"/>
        </xdr:cNvPr>
        <xdr:cNvSpPr/>
      </xdr:nvSpPr>
      <xdr:spPr>
        <a:xfrm>
          <a:off x="8105775" y="5924550"/>
          <a:ext cx="2114550" cy="140017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a-GE" sz="1100"/>
            <a:t>შემდეგი</a:t>
          </a:r>
          <a:r>
            <a:rPr lang="ka-GE" sz="1100" baseline="0"/>
            <a:t> გვერდი</a:t>
          </a:r>
          <a:endParaRPr lang="ka-GE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24</xdr:row>
      <xdr:rowOff>38100</xdr:rowOff>
    </xdr:from>
    <xdr:to>
      <xdr:col>14</xdr:col>
      <xdr:colOff>504825</xdr:colOff>
      <xdr:row>29</xdr:row>
      <xdr:rowOff>171450</xdr:rowOff>
    </xdr:to>
    <xdr:sp macro="" textlink="">
      <xdr:nvSpPr>
        <xdr:cNvPr id="4" name="TextBox 3"/>
        <xdr:cNvSpPr txBox="1"/>
      </xdr:nvSpPr>
      <xdr:spPr>
        <a:xfrm>
          <a:off x="8096250" y="5381625"/>
          <a:ext cx="8210550" cy="1085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a-GE" sz="1100"/>
            <a:t>ფუნქციები, ჩადგმული ფუნქციები. ამოცანები სხვადასხვა ფუნქციების გამოყენებაზე</a:t>
          </a:r>
          <a:r>
            <a:rPr lang="ka-G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sumif,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sumifs, dsum,  countif, countifs, rand, RANDBETWEEN,  round, roundup, roundown, AVERAGEIF,</a:t>
          </a:r>
          <a:r>
            <a:rPr lang="ka-GE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AVERAGEIFS...IF, </a:t>
          </a:r>
          <a:r>
            <a:rPr lang="ka-GE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ჩადგმული 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If,  Iferror,  </a:t>
          </a:r>
          <a:r>
            <a:rPr lang="ka-GE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თარიღისა და დროის ფუნქციები, ტექსტის ფუნქციები, ლოგიკური ფუნქციები, მათემატიკური . მაღალი შეფასებისათვის თქვენს მიერ გარჩეული ფუნქციები (5 ფუნქცია დამოუკიდებლად გარჩეული).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ka-GE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ამოცანები აუცილებლად უნდა იყოს ჩამოყალიბებული.</a:t>
          </a:r>
          <a:endParaRPr lang="en-US" sz="1100"/>
        </a:p>
      </xdr:txBody>
    </xdr:sp>
    <xdr:clientData/>
  </xdr:twoCellAnchor>
  <xdr:twoCellAnchor>
    <xdr:from>
      <xdr:col>1</xdr:col>
      <xdr:colOff>9525</xdr:colOff>
      <xdr:row>19</xdr:row>
      <xdr:rowOff>152400</xdr:rowOff>
    </xdr:from>
    <xdr:to>
      <xdr:col>5</xdr:col>
      <xdr:colOff>1057275</xdr:colOff>
      <xdr:row>21</xdr:row>
      <xdr:rowOff>142875</xdr:rowOff>
    </xdr:to>
    <xdr:sp macro="" textlink="">
      <xdr:nvSpPr>
        <xdr:cNvPr id="5" name="TextBox 4"/>
        <xdr:cNvSpPr txBox="1"/>
      </xdr:nvSpPr>
      <xdr:spPr>
        <a:xfrm>
          <a:off x="695325" y="3971925"/>
          <a:ext cx="7000875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a-GE" sz="1100"/>
            <a:t>დავაბრუნოთ</a:t>
          </a:r>
          <a:r>
            <a:rPr lang="ka-GE" sz="1100" baseline="0"/>
            <a:t> იმ პროდუქტების მოგებების ჯამი რომლებიც აკმაყოფილებენ რაღაც პირობებს:</a:t>
          </a:r>
          <a:endParaRPr lang="ka-GE" sz="1100"/>
        </a:p>
      </xdr:txBody>
    </xdr:sp>
    <xdr:clientData/>
  </xdr:twoCellAnchor>
  <xdr:twoCellAnchor>
    <xdr:from>
      <xdr:col>2</xdr:col>
      <xdr:colOff>533400</xdr:colOff>
      <xdr:row>25</xdr:row>
      <xdr:rowOff>161925</xdr:rowOff>
    </xdr:from>
    <xdr:to>
      <xdr:col>3</xdr:col>
      <xdr:colOff>1257300</xdr:colOff>
      <xdr:row>27</xdr:row>
      <xdr:rowOff>133350</xdr:rowOff>
    </xdr:to>
    <xdr:sp macro="" textlink="">
      <xdr:nvSpPr>
        <xdr:cNvPr id="7" name="TextBox 6"/>
        <xdr:cNvSpPr txBox="1"/>
      </xdr:nvSpPr>
      <xdr:spPr>
        <a:xfrm>
          <a:off x="2381250" y="5314950"/>
          <a:ext cx="2514600" cy="352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a-GE" sz="1100"/>
            <a:t>გამოყენებულია</a:t>
          </a:r>
          <a:r>
            <a:rPr lang="ka-GE" sz="1100" baseline="0"/>
            <a:t> </a:t>
          </a:r>
          <a:r>
            <a:rPr lang="en-US" sz="1100" baseline="0"/>
            <a:t>DSUM</a:t>
          </a:r>
          <a:r>
            <a:rPr lang="ka-GE" sz="1100" baseline="0"/>
            <a:t> ფუნქცია</a:t>
          </a:r>
          <a:endParaRPr lang="ka-GE" sz="1100"/>
        </a:p>
      </xdr:txBody>
    </xdr:sp>
    <xdr:clientData/>
  </xdr:twoCellAnchor>
  <xdr:twoCellAnchor>
    <xdr:from>
      <xdr:col>1</xdr:col>
      <xdr:colOff>9525</xdr:colOff>
      <xdr:row>28</xdr:row>
      <xdr:rowOff>95250</xdr:rowOff>
    </xdr:from>
    <xdr:to>
      <xdr:col>3</xdr:col>
      <xdr:colOff>895350</xdr:colOff>
      <xdr:row>33</xdr:row>
      <xdr:rowOff>47625</xdr:rowOff>
    </xdr:to>
    <xdr:sp macro="" textlink="">
      <xdr:nvSpPr>
        <xdr:cNvPr id="8" name="TextBox 7"/>
        <xdr:cNvSpPr txBox="1"/>
      </xdr:nvSpPr>
      <xdr:spPr>
        <a:xfrm>
          <a:off x="695325" y="5819775"/>
          <a:ext cx="3838575" cy="904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a-GE" sz="1100"/>
            <a:t>გამოვყოთ</a:t>
          </a:r>
          <a:r>
            <a:rPr lang="ka-GE" sz="1100" baseline="0"/>
            <a:t> იმ პროდუქციის მოგებების ჯამი რომელთა კატეგორიაა ტელეფონები, რაოდებონა &gt;=5 და ღირებულება &lt;1000</a:t>
          </a:r>
        </a:p>
        <a:p>
          <a:endParaRPr lang="ka-GE" sz="1100"/>
        </a:p>
      </xdr:txBody>
    </xdr:sp>
    <xdr:clientData/>
  </xdr:twoCellAnchor>
  <xdr:twoCellAnchor>
    <xdr:from>
      <xdr:col>1</xdr:col>
      <xdr:colOff>95250</xdr:colOff>
      <xdr:row>36</xdr:row>
      <xdr:rowOff>9525</xdr:rowOff>
    </xdr:from>
    <xdr:to>
      <xdr:col>3</xdr:col>
      <xdr:colOff>990600</xdr:colOff>
      <xdr:row>42</xdr:row>
      <xdr:rowOff>142875</xdr:rowOff>
    </xdr:to>
    <xdr:sp macro="" textlink="">
      <xdr:nvSpPr>
        <xdr:cNvPr id="9" name="TextBox 8"/>
        <xdr:cNvSpPr txBox="1"/>
      </xdr:nvSpPr>
      <xdr:spPr>
        <a:xfrm>
          <a:off x="781050" y="7258050"/>
          <a:ext cx="3848100" cy="1276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a-GE" sz="1100"/>
            <a:t>გამოვთვალოთ ტელეფონების და ციფრული ტექნიკის ის მოგებების ჯამი რომელთა ფასიც</a:t>
          </a:r>
          <a:r>
            <a:rPr lang="ka-GE" sz="1100" baseline="0"/>
            <a:t> &gt;500-ზე და თუ მათი რაოდენობა &gt;30, მაშინ დავუმატოთ ამ მოგებების ჯამის 30%;</a:t>
          </a:r>
          <a:endParaRPr lang="ka-GE" sz="1100"/>
        </a:p>
      </xdr:txBody>
    </xdr:sp>
    <xdr:clientData/>
  </xdr:twoCellAnchor>
  <xdr:twoCellAnchor>
    <xdr:from>
      <xdr:col>0</xdr:col>
      <xdr:colOff>180975</xdr:colOff>
      <xdr:row>44</xdr:row>
      <xdr:rowOff>9525</xdr:rowOff>
    </xdr:from>
    <xdr:to>
      <xdr:col>2</xdr:col>
      <xdr:colOff>904875</xdr:colOff>
      <xdr:row>52</xdr:row>
      <xdr:rowOff>0</xdr:rowOff>
    </xdr:to>
    <xdr:sp macro="" textlink="">
      <xdr:nvSpPr>
        <xdr:cNvPr id="11" name="TextBox 10"/>
        <xdr:cNvSpPr txBox="1"/>
      </xdr:nvSpPr>
      <xdr:spPr>
        <a:xfrm>
          <a:off x="180975" y="9163050"/>
          <a:ext cx="2571750" cy="1514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a-GE" sz="1100"/>
            <a:t>მოცემული დიაპაზონი შეავსეთ შემთხვევითი რიცხვებით</a:t>
          </a:r>
          <a:r>
            <a:rPr lang="ka-GE" sz="1100" baseline="0"/>
            <a:t> 0-1 შუალედში</a:t>
          </a:r>
        </a:p>
        <a:p>
          <a:endParaRPr lang="ka-GE" sz="1100"/>
        </a:p>
      </xdr:txBody>
    </xdr:sp>
    <xdr:clientData/>
  </xdr:twoCellAnchor>
  <xdr:twoCellAnchor>
    <xdr:from>
      <xdr:col>0</xdr:col>
      <xdr:colOff>180975</xdr:colOff>
      <xdr:row>55</xdr:row>
      <xdr:rowOff>57150</xdr:rowOff>
    </xdr:from>
    <xdr:to>
      <xdr:col>2</xdr:col>
      <xdr:colOff>923925</xdr:colOff>
      <xdr:row>61</xdr:row>
      <xdr:rowOff>133350</xdr:rowOff>
    </xdr:to>
    <xdr:sp macro="" textlink="">
      <xdr:nvSpPr>
        <xdr:cNvPr id="12" name="TextBox 11"/>
        <xdr:cNvSpPr txBox="1"/>
      </xdr:nvSpPr>
      <xdr:spPr>
        <a:xfrm>
          <a:off x="180975" y="11306175"/>
          <a:ext cx="2590800" cy="1219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a-GE" sz="1100"/>
            <a:t>პირველი</a:t>
          </a:r>
          <a:r>
            <a:rPr lang="ka-GE" sz="1100" baseline="0"/>
            <a:t> სვეტის რიცხვები დავამრგვალოთ ასეულებამდე, გავამრავლოთ10-ზე და შედეგი დავამრგვალოთ მეტობისკენ</a:t>
          </a:r>
        </a:p>
        <a:p>
          <a:endParaRPr lang="ka-GE" sz="1100"/>
        </a:p>
      </xdr:txBody>
    </xdr:sp>
    <xdr:clientData/>
  </xdr:twoCellAnchor>
  <xdr:twoCellAnchor>
    <xdr:from>
      <xdr:col>0</xdr:col>
      <xdr:colOff>400050</xdr:colOff>
      <xdr:row>64</xdr:row>
      <xdr:rowOff>38100</xdr:rowOff>
    </xdr:from>
    <xdr:to>
      <xdr:col>2</xdr:col>
      <xdr:colOff>742950</xdr:colOff>
      <xdr:row>70</xdr:row>
      <xdr:rowOff>19050</xdr:rowOff>
    </xdr:to>
    <xdr:sp macro="" textlink="">
      <xdr:nvSpPr>
        <xdr:cNvPr id="13" name="TextBox 12"/>
        <xdr:cNvSpPr txBox="1"/>
      </xdr:nvSpPr>
      <xdr:spPr>
        <a:xfrm>
          <a:off x="400050" y="13001625"/>
          <a:ext cx="2190750" cy="1123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a-GE" sz="1100"/>
            <a:t>გამოვთვალოთ იმ მოგებების ჯამი სადაც ბრენდი არის სამსუნგი</a:t>
          </a:r>
          <a:r>
            <a:rPr lang="ka-GE" sz="1100" baseline="0"/>
            <a:t> და მიღებული შედეგი დავამრგვალოთ ნაკლებობით.</a:t>
          </a:r>
        </a:p>
        <a:p>
          <a:endParaRPr lang="ka-GE" sz="1100" baseline="0"/>
        </a:p>
        <a:p>
          <a:endParaRPr lang="ka-GE" sz="1100"/>
        </a:p>
      </xdr:txBody>
    </xdr:sp>
    <xdr:clientData/>
  </xdr:twoCellAnchor>
  <xdr:twoCellAnchor>
    <xdr:from>
      <xdr:col>0</xdr:col>
      <xdr:colOff>400050</xdr:colOff>
      <xdr:row>71</xdr:row>
      <xdr:rowOff>104775</xdr:rowOff>
    </xdr:from>
    <xdr:to>
      <xdr:col>2</xdr:col>
      <xdr:colOff>904875</xdr:colOff>
      <xdr:row>76</xdr:row>
      <xdr:rowOff>180975</xdr:rowOff>
    </xdr:to>
    <xdr:sp macro="" textlink="">
      <xdr:nvSpPr>
        <xdr:cNvPr id="14" name="TextBox 13"/>
        <xdr:cNvSpPr txBox="1"/>
      </xdr:nvSpPr>
      <xdr:spPr>
        <a:xfrm>
          <a:off x="400050" y="14401800"/>
          <a:ext cx="235267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a-GE" sz="1100"/>
            <a:t>დღის,</a:t>
          </a:r>
          <a:r>
            <a:rPr lang="ka-GE" sz="1100" baseline="0"/>
            <a:t> თვის და წლიშ მითითებით თარიღის შედგენა</a:t>
          </a:r>
        </a:p>
        <a:p>
          <a:endParaRPr lang="ka-GE" sz="1100"/>
        </a:p>
      </xdr:txBody>
    </xdr:sp>
    <xdr:clientData/>
  </xdr:twoCellAnchor>
  <xdr:twoCellAnchor>
    <xdr:from>
      <xdr:col>0</xdr:col>
      <xdr:colOff>495300</xdr:colOff>
      <xdr:row>78</xdr:row>
      <xdr:rowOff>66675</xdr:rowOff>
    </xdr:from>
    <xdr:to>
      <xdr:col>2</xdr:col>
      <xdr:colOff>714375</xdr:colOff>
      <xdr:row>82</xdr:row>
      <xdr:rowOff>180975</xdr:rowOff>
    </xdr:to>
    <xdr:sp macro="" textlink="">
      <xdr:nvSpPr>
        <xdr:cNvPr id="15" name="TextBox 14"/>
        <xdr:cNvSpPr txBox="1"/>
      </xdr:nvSpPr>
      <xdr:spPr>
        <a:xfrm>
          <a:off x="495300" y="15697200"/>
          <a:ext cx="2066925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a-GE" sz="1100"/>
            <a:t>ტარიღის</a:t>
          </a:r>
          <a:r>
            <a:rPr lang="ka-GE" sz="1100" baseline="0"/>
            <a:t> რიცხობრივ ფორმატში გადაყვანა</a:t>
          </a:r>
          <a:endParaRPr lang="ka-GE" sz="1100"/>
        </a:p>
      </xdr:txBody>
    </xdr:sp>
    <xdr:clientData/>
  </xdr:twoCellAnchor>
  <xdr:twoCellAnchor>
    <xdr:from>
      <xdr:col>3</xdr:col>
      <xdr:colOff>1457325</xdr:colOff>
      <xdr:row>85</xdr:row>
      <xdr:rowOff>0</xdr:rowOff>
    </xdr:from>
    <xdr:to>
      <xdr:col>5</xdr:col>
      <xdr:colOff>895350</xdr:colOff>
      <xdr:row>88</xdr:row>
      <xdr:rowOff>104775</xdr:rowOff>
    </xdr:to>
    <xdr:sp macro="" textlink="">
      <xdr:nvSpPr>
        <xdr:cNvPr id="16" name="TextBox 15"/>
        <xdr:cNvSpPr txBox="1"/>
      </xdr:nvSpPr>
      <xdr:spPr>
        <a:xfrm>
          <a:off x="5095875" y="16964025"/>
          <a:ext cx="2181225" cy="676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a-GE" sz="1100"/>
            <a:t>დღევანდელი</a:t>
          </a:r>
          <a:r>
            <a:rPr lang="ka-GE" sz="1100" baseline="0"/>
            <a:t> </a:t>
          </a:r>
          <a:r>
            <a:rPr lang="ka-GE" sz="1100"/>
            <a:t>თარიღიდან დღის,</a:t>
          </a:r>
          <a:r>
            <a:rPr lang="ka-GE" sz="1100" baseline="0"/>
            <a:t> თვის და წლის გამოყოფა</a:t>
          </a:r>
          <a:endParaRPr lang="ka-GE" sz="1100"/>
        </a:p>
      </xdr:txBody>
    </xdr:sp>
    <xdr:clientData/>
  </xdr:twoCellAnchor>
  <xdr:twoCellAnchor>
    <xdr:from>
      <xdr:col>0</xdr:col>
      <xdr:colOff>409575</xdr:colOff>
      <xdr:row>90</xdr:row>
      <xdr:rowOff>76200</xdr:rowOff>
    </xdr:from>
    <xdr:to>
      <xdr:col>2</xdr:col>
      <xdr:colOff>1514475</xdr:colOff>
      <xdr:row>93</xdr:row>
      <xdr:rowOff>95250</xdr:rowOff>
    </xdr:to>
    <xdr:sp macro="" textlink="">
      <xdr:nvSpPr>
        <xdr:cNvPr id="17" name="TextBox 16"/>
        <xdr:cNvSpPr txBox="1"/>
      </xdr:nvSpPr>
      <xdr:spPr>
        <a:xfrm>
          <a:off x="409575" y="17992725"/>
          <a:ext cx="2952750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a-GE" sz="1100"/>
            <a:t>გავიგოთ</a:t>
          </a:r>
          <a:r>
            <a:rPr lang="ka-GE" sz="1100" baseline="0"/>
            <a:t> მოცემული თარიღი კვირის რა დღეა</a:t>
          </a:r>
        </a:p>
        <a:p>
          <a:endParaRPr lang="ka-GE" sz="1100"/>
        </a:p>
      </xdr:txBody>
    </xdr:sp>
    <xdr:clientData/>
  </xdr:twoCellAnchor>
  <xdr:twoCellAnchor>
    <xdr:from>
      <xdr:col>0</xdr:col>
      <xdr:colOff>628650</xdr:colOff>
      <xdr:row>101</xdr:row>
      <xdr:rowOff>19050</xdr:rowOff>
    </xdr:from>
    <xdr:to>
      <xdr:col>2</xdr:col>
      <xdr:colOff>1238250</xdr:colOff>
      <xdr:row>107</xdr:row>
      <xdr:rowOff>123825</xdr:rowOff>
    </xdr:to>
    <xdr:sp macro="" textlink="">
      <xdr:nvSpPr>
        <xdr:cNvPr id="18" name="TextBox 17"/>
        <xdr:cNvSpPr txBox="1"/>
      </xdr:nvSpPr>
      <xdr:spPr>
        <a:xfrm>
          <a:off x="628650" y="20031075"/>
          <a:ext cx="2457450" cy="1247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a-GE" sz="1100"/>
            <a:t>გავიგოთ</a:t>
          </a:r>
          <a:r>
            <a:rPr lang="ka-GE" sz="1100" baseline="0"/>
            <a:t> რამდენი სამუშაო დღეა 2015 წლის მარტის თვეში</a:t>
          </a:r>
          <a:endParaRPr lang="ka-GE" sz="1100"/>
        </a:p>
      </xdr:txBody>
    </xdr:sp>
    <xdr:clientData/>
  </xdr:twoCellAnchor>
  <xdr:twoCellAnchor>
    <xdr:from>
      <xdr:col>1</xdr:col>
      <xdr:colOff>28575</xdr:colOff>
      <xdr:row>110</xdr:row>
      <xdr:rowOff>28575</xdr:rowOff>
    </xdr:from>
    <xdr:to>
      <xdr:col>2</xdr:col>
      <xdr:colOff>1104900</xdr:colOff>
      <xdr:row>114</xdr:row>
      <xdr:rowOff>0</xdr:rowOff>
    </xdr:to>
    <xdr:sp macro="" textlink="">
      <xdr:nvSpPr>
        <xdr:cNvPr id="19" name="TextBox 18"/>
        <xdr:cNvSpPr txBox="1"/>
      </xdr:nvSpPr>
      <xdr:spPr>
        <a:xfrm>
          <a:off x="714375" y="21755100"/>
          <a:ext cx="2238375" cy="733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a-GE" sz="1100"/>
            <a:t>გავიგოთ ორ თარიღს</a:t>
          </a:r>
          <a:r>
            <a:rPr lang="ka-GE" sz="1100" baseline="0"/>
            <a:t> შორის დღეების რაოდენობა 30 დღიანი ფორმატით</a:t>
          </a:r>
        </a:p>
        <a:p>
          <a:endParaRPr lang="ka-GE" sz="1100"/>
        </a:p>
      </xdr:txBody>
    </xdr:sp>
    <xdr:clientData/>
  </xdr:twoCellAnchor>
  <xdr:twoCellAnchor>
    <xdr:from>
      <xdr:col>1</xdr:col>
      <xdr:colOff>228600</xdr:colOff>
      <xdr:row>116</xdr:row>
      <xdr:rowOff>180975</xdr:rowOff>
    </xdr:from>
    <xdr:to>
      <xdr:col>2</xdr:col>
      <xdr:colOff>781050</xdr:colOff>
      <xdr:row>120</xdr:row>
      <xdr:rowOff>76200</xdr:rowOff>
    </xdr:to>
    <xdr:sp macro="" textlink="">
      <xdr:nvSpPr>
        <xdr:cNvPr id="20" name="TextBox 19"/>
        <xdr:cNvSpPr txBox="1"/>
      </xdr:nvSpPr>
      <xdr:spPr>
        <a:xfrm>
          <a:off x="914400" y="23050500"/>
          <a:ext cx="1714500" cy="657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a-GE" sz="1100"/>
            <a:t>მიმდინარე თარიღის</a:t>
          </a:r>
          <a:r>
            <a:rPr lang="ka-GE" sz="1100" baseline="0"/>
            <a:t> და დროის გაგება	</a:t>
          </a:r>
          <a:endParaRPr lang="ka-GE" sz="1100"/>
        </a:p>
      </xdr:txBody>
    </xdr:sp>
    <xdr:clientData/>
  </xdr:twoCellAnchor>
  <xdr:twoCellAnchor>
    <xdr:from>
      <xdr:col>4</xdr:col>
      <xdr:colOff>1685925</xdr:colOff>
      <xdr:row>119</xdr:row>
      <xdr:rowOff>47625</xdr:rowOff>
    </xdr:from>
    <xdr:to>
      <xdr:col>6</xdr:col>
      <xdr:colOff>504825</xdr:colOff>
      <xdr:row>122</xdr:row>
      <xdr:rowOff>133350</xdr:rowOff>
    </xdr:to>
    <xdr:sp macro="" textlink="">
      <xdr:nvSpPr>
        <xdr:cNvPr id="21" name="TextBox 20"/>
        <xdr:cNvSpPr txBox="1"/>
      </xdr:nvSpPr>
      <xdr:spPr>
        <a:xfrm>
          <a:off x="7181850" y="23488650"/>
          <a:ext cx="1676400" cy="657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a-GE" sz="1100"/>
            <a:t>მოცემული</a:t>
          </a:r>
          <a:r>
            <a:rPr lang="ka-GE" sz="1100" baseline="0"/>
            <a:t> მონაცემების გაერთიანება</a:t>
          </a:r>
        </a:p>
        <a:p>
          <a:endParaRPr lang="ka-GE" sz="1100"/>
        </a:p>
      </xdr:txBody>
    </xdr:sp>
    <xdr:clientData/>
  </xdr:twoCellAnchor>
  <xdr:twoCellAnchor>
    <xdr:from>
      <xdr:col>1</xdr:col>
      <xdr:colOff>114299</xdr:colOff>
      <xdr:row>125</xdr:row>
      <xdr:rowOff>66675</xdr:rowOff>
    </xdr:from>
    <xdr:to>
      <xdr:col>3</xdr:col>
      <xdr:colOff>314324</xdr:colOff>
      <xdr:row>127</xdr:row>
      <xdr:rowOff>142875</xdr:rowOff>
    </xdr:to>
    <xdr:sp macro="" textlink="">
      <xdr:nvSpPr>
        <xdr:cNvPr id="22" name="TextBox 21"/>
        <xdr:cNvSpPr txBox="1"/>
      </xdr:nvSpPr>
      <xdr:spPr>
        <a:xfrm>
          <a:off x="800099" y="24650700"/>
          <a:ext cx="315277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a-GE" sz="1100"/>
            <a:t>მითითებული</a:t>
          </a:r>
          <a:r>
            <a:rPr lang="ka-GE" sz="1100" baseline="0"/>
            <a:t> რიცხვის შესაბამისი სიმბოლოს გაგება</a:t>
          </a:r>
          <a:endParaRPr lang="ka-GE" sz="1100"/>
        </a:p>
      </xdr:txBody>
    </xdr:sp>
    <xdr:clientData/>
  </xdr:twoCellAnchor>
  <xdr:twoCellAnchor>
    <xdr:from>
      <xdr:col>0</xdr:col>
      <xdr:colOff>676275</xdr:colOff>
      <xdr:row>128</xdr:row>
      <xdr:rowOff>114300</xdr:rowOff>
    </xdr:from>
    <xdr:to>
      <xdr:col>3</xdr:col>
      <xdr:colOff>266700</xdr:colOff>
      <xdr:row>131</xdr:row>
      <xdr:rowOff>95250</xdr:rowOff>
    </xdr:to>
    <xdr:sp macro="" textlink="">
      <xdr:nvSpPr>
        <xdr:cNvPr id="23" name="TextBox 22"/>
        <xdr:cNvSpPr txBox="1"/>
      </xdr:nvSpPr>
      <xdr:spPr>
        <a:xfrm>
          <a:off x="676275" y="25269825"/>
          <a:ext cx="3228975" cy="55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a-GE" sz="1100"/>
            <a:t>ტექტური სტრიქონების გაერთიანება</a:t>
          </a:r>
        </a:p>
      </xdr:txBody>
    </xdr:sp>
    <xdr:clientData/>
  </xdr:twoCellAnchor>
  <xdr:twoCellAnchor>
    <xdr:from>
      <xdr:col>0</xdr:col>
      <xdr:colOff>666750</xdr:colOff>
      <xdr:row>132</xdr:row>
      <xdr:rowOff>142875</xdr:rowOff>
    </xdr:from>
    <xdr:to>
      <xdr:col>3</xdr:col>
      <xdr:colOff>228600</xdr:colOff>
      <xdr:row>135</xdr:row>
      <xdr:rowOff>76200</xdr:rowOff>
    </xdr:to>
    <xdr:sp macro="" textlink="">
      <xdr:nvSpPr>
        <xdr:cNvPr id="24" name="TextBox 23"/>
        <xdr:cNvSpPr txBox="1"/>
      </xdr:nvSpPr>
      <xdr:spPr>
        <a:xfrm>
          <a:off x="666750" y="26060400"/>
          <a:ext cx="3200400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a-GE" sz="1100"/>
            <a:t>ტექსტური მნიშვნელობების შედარება</a:t>
          </a:r>
        </a:p>
      </xdr:txBody>
    </xdr:sp>
    <xdr:clientData/>
  </xdr:twoCellAnchor>
  <xdr:twoCellAnchor>
    <xdr:from>
      <xdr:col>0</xdr:col>
      <xdr:colOff>647700</xdr:colOff>
      <xdr:row>136</xdr:row>
      <xdr:rowOff>104775</xdr:rowOff>
    </xdr:from>
    <xdr:to>
      <xdr:col>3</xdr:col>
      <xdr:colOff>238125</xdr:colOff>
      <xdr:row>139</xdr:row>
      <xdr:rowOff>28575</xdr:rowOff>
    </xdr:to>
    <xdr:sp macro="" textlink="">
      <xdr:nvSpPr>
        <xdr:cNvPr id="25" name="TextBox 24"/>
        <xdr:cNvSpPr txBox="1"/>
      </xdr:nvSpPr>
      <xdr:spPr>
        <a:xfrm>
          <a:off x="647700" y="26784300"/>
          <a:ext cx="3228975" cy="49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a-GE" sz="1100"/>
            <a:t>ტექსქში</a:t>
          </a:r>
          <a:r>
            <a:rPr lang="ka-GE" sz="1100" baseline="0"/>
            <a:t> ძებნა საწყისი პოზიციის მითითებით</a:t>
          </a:r>
          <a:endParaRPr lang="ka-GE" sz="1100"/>
        </a:p>
      </xdr:txBody>
    </xdr:sp>
    <xdr:clientData/>
  </xdr:twoCellAnchor>
  <xdr:twoCellAnchor>
    <xdr:from>
      <xdr:col>0</xdr:col>
      <xdr:colOff>542925</xdr:colOff>
      <xdr:row>141</xdr:row>
      <xdr:rowOff>28575</xdr:rowOff>
    </xdr:from>
    <xdr:to>
      <xdr:col>2</xdr:col>
      <xdr:colOff>1628775</xdr:colOff>
      <xdr:row>145</xdr:row>
      <xdr:rowOff>47625</xdr:rowOff>
    </xdr:to>
    <xdr:sp macro="" textlink="">
      <xdr:nvSpPr>
        <xdr:cNvPr id="26" name="TextBox 25"/>
        <xdr:cNvSpPr txBox="1"/>
      </xdr:nvSpPr>
      <xdr:spPr>
        <a:xfrm>
          <a:off x="542925" y="27660600"/>
          <a:ext cx="2933700" cy="781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a-GE" sz="1100"/>
            <a:t>მოცემულ ტექსტს</a:t>
          </a:r>
          <a:r>
            <a:rPr lang="ka-GE" sz="1100" baseline="0"/>
            <a:t> ჩამოვაჭრათ მარცხნიდან სიმბოლოები პირველ ჰარამდე და დარჩეილი ტექსტი გავიმეოროთ 5-ჯერ</a:t>
          </a:r>
        </a:p>
        <a:p>
          <a:endParaRPr lang="ka-GE" sz="1100"/>
        </a:p>
      </xdr:txBody>
    </xdr:sp>
    <xdr:clientData/>
  </xdr:twoCellAnchor>
  <xdr:twoCellAnchor>
    <xdr:from>
      <xdr:col>1</xdr:col>
      <xdr:colOff>38100</xdr:colOff>
      <xdr:row>148</xdr:row>
      <xdr:rowOff>28575</xdr:rowOff>
    </xdr:from>
    <xdr:to>
      <xdr:col>2</xdr:col>
      <xdr:colOff>1524000</xdr:colOff>
      <xdr:row>152</xdr:row>
      <xdr:rowOff>19050</xdr:rowOff>
    </xdr:to>
    <xdr:sp macro="" textlink="">
      <xdr:nvSpPr>
        <xdr:cNvPr id="27" name="TextBox 26"/>
        <xdr:cNvSpPr txBox="1"/>
      </xdr:nvSpPr>
      <xdr:spPr>
        <a:xfrm>
          <a:off x="723900" y="28994100"/>
          <a:ext cx="2647950" cy="752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a-GE" sz="1100"/>
            <a:t>მოცემულ</a:t>
          </a:r>
          <a:r>
            <a:rPr lang="ka-GE" sz="1100" baseline="0"/>
            <a:t> ტექსტში ზუსტი და საბუნებისმეტყველო შევცვალოთ კომპიუტერული-თ</a:t>
          </a:r>
        </a:p>
        <a:p>
          <a:endParaRPr lang="ka-GE" sz="1100"/>
        </a:p>
      </xdr:txBody>
    </xdr:sp>
    <xdr:clientData/>
  </xdr:twoCellAnchor>
  <xdr:twoCellAnchor>
    <xdr:from>
      <xdr:col>1</xdr:col>
      <xdr:colOff>133350</xdr:colOff>
      <xdr:row>154</xdr:row>
      <xdr:rowOff>152400</xdr:rowOff>
    </xdr:from>
    <xdr:to>
      <xdr:col>3</xdr:col>
      <xdr:colOff>1295400</xdr:colOff>
      <xdr:row>158</xdr:row>
      <xdr:rowOff>123825</xdr:rowOff>
    </xdr:to>
    <xdr:sp macro="" textlink="">
      <xdr:nvSpPr>
        <xdr:cNvPr id="28" name="TextBox 27"/>
        <xdr:cNvSpPr txBox="1"/>
      </xdr:nvSpPr>
      <xdr:spPr>
        <a:xfrm>
          <a:off x="819150" y="30260925"/>
          <a:ext cx="4114800" cy="733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a-GE" sz="1100"/>
            <a:t>ლოგიკური</a:t>
          </a:r>
          <a:r>
            <a:rPr lang="ka-GE" sz="1100" baseline="0"/>
            <a:t> ფუნქციები</a:t>
          </a:r>
        </a:p>
        <a:p>
          <a:endParaRPr lang="ka-GE" sz="1100"/>
        </a:p>
      </xdr:txBody>
    </xdr:sp>
    <xdr:clientData/>
  </xdr:twoCellAnchor>
  <xdr:twoCellAnchor>
    <xdr:from>
      <xdr:col>0</xdr:col>
      <xdr:colOff>476250</xdr:colOff>
      <xdr:row>177</xdr:row>
      <xdr:rowOff>180975</xdr:rowOff>
    </xdr:from>
    <xdr:to>
      <xdr:col>2</xdr:col>
      <xdr:colOff>790575</xdr:colOff>
      <xdr:row>180</xdr:row>
      <xdr:rowOff>104775</xdr:rowOff>
    </xdr:to>
    <xdr:sp macro="" textlink="">
      <xdr:nvSpPr>
        <xdr:cNvPr id="29" name="TextBox 28"/>
        <xdr:cNvSpPr txBox="1"/>
      </xdr:nvSpPr>
      <xdr:spPr>
        <a:xfrm>
          <a:off x="476250" y="35252025"/>
          <a:ext cx="2162175" cy="49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a-GE" sz="1100"/>
            <a:t>მათემატიკური</a:t>
          </a:r>
          <a:r>
            <a:rPr lang="ka-GE" sz="1100" baseline="0"/>
            <a:t> ფუნქციები</a:t>
          </a:r>
        </a:p>
        <a:p>
          <a:endParaRPr lang="ka-GE" sz="1100"/>
        </a:p>
      </xdr:txBody>
    </xdr:sp>
    <xdr:clientData/>
  </xdr:twoCellAnchor>
  <xdr:twoCellAnchor>
    <xdr:from>
      <xdr:col>0</xdr:col>
      <xdr:colOff>638175</xdr:colOff>
      <xdr:row>193</xdr:row>
      <xdr:rowOff>161925</xdr:rowOff>
    </xdr:from>
    <xdr:to>
      <xdr:col>4</xdr:col>
      <xdr:colOff>19050</xdr:colOff>
      <xdr:row>197</xdr:row>
      <xdr:rowOff>152400</xdr:rowOff>
    </xdr:to>
    <xdr:sp macro="" textlink="">
      <xdr:nvSpPr>
        <xdr:cNvPr id="30" name="TextBox 29"/>
        <xdr:cNvSpPr txBox="1"/>
      </xdr:nvSpPr>
      <xdr:spPr>
        <a:xfrm>
          <a:off x="638175" y="38280975"/>
          <a:ext cx="4781550" cy="752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/>
            <a:t>cell</a:t>
          </a:r>
          <a:r>
            <a:rPr lang="en-US" sz="1800"/>
            <a:t> </a:t>
          </a:r>
          <a:r>
            <a:rPr lang="ka-GE" sz="1100"/>
            <a:t>ფუნქციით შესაძლებელია მივიღოთ ინფორმაცია ფორმატზე, მდებარეობაზე ან შიგთავსსზე. მაგალითები:</a:t>
          </a:r>
        </a:p>
      </xdr:txBody>
    </xdr:sp>
    <xdr:clientData/>
  </xdr:twoCellAnchor>
  <xdr:twoCellAnchor>
    <xdr:from>
      <xdr:col>1</xdr:col>
      <xdr:colOff>28575</xdr:colOff>
      <xdr:row>206</xdr:row>
      <xdr:rowOff>123825</xdr:rowOff>
    </xdr:from>
    <xdr:to>
      <xdr:col>2</xdr:col>
      <xdr:colOff>1619250</xdr:colOff>
      <xdr:row>211</xdr:row>
      <xdr:rowOff>47625</xdr:rowOff>
    </xdr:to>
    <xdr:sp macro="" textlink="">
      <xdr:nvSpPr>
        <xdr:cNvPr id="31" name="TextBox 30"/>
        <xdr:cNvSpPr txBox="1"/>
      </xdr:nvSpPr>
      <xdr:spPr>
        <a:xfrm>
          <a:off x="714375" y="40738425"/>
          <a:ext cx="3067050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a-GE" sz="1100"/>
            <a:t>თუ</a:t>
          </a:r>
          <a:r>
            <a:rPr lang="ka-GE" sz="1100" baseline="0"/>
            <a:t> მოცემული უჯრა შეიცავს რიცხვს მაშინ იგი ავიყვანოთ კვადრატში, წინააღმდეგ შემთხვევაში დავბეჭდოთ 0</a:t>
          </a:r>
        </a:p>
        <a:p>
          <a:endParaRPr lang="ka-GE" sz="1100"/>
        </a:p>
      </xdr:txBody>
    </xdr:sp>
    <xdr:clientData/>
  </xdr:twoCellAnchor>
  <xdr:twoCellAnchor>
    <xdr:from>
      <xdr:col>1</xdr:col>
      <xdr:colOff>47625</xdr:colOff>
      <xdr:row>213</xdr:row>
      <xdr:rowOff>47625</xdr:rowOff>
    </xdr:from>
    <xdr:to>
      <xdr:col>2</xdr:col>
      <xdr:colOff>1685925</xdr:colOff>
      <xdr:row>216</xdr:row>
      <xdr:rowOff>47625</xdr:rowOff>
    </xdr:to>
    <xdr:sp macro="" textlink="">
      <xdr:nvSpPr>
        <xdr:cNvPr id="32" name="TextBox 31"/>
        <xdr:cNvSpPr txBox="1"/>
      </xdr:nvSpPr>
      <xdr:spPr>
        <a:xfrm>
          <a:off x="733425" y="41995725"/>
          <a:ext cx="311467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formulatext </a:t>
          </a:r>
          <a:r>
            <a:rPr lang="ka-GE" sz="1100"/>
            <a:t>აბრუნებს</a:t>
          </a:r>
          <a:r>
            <a:rPr lang="ka-GE" sz="1100" baseline="0"/>
            <a:t> ფორმულას როგორც სტრინგს</a:t>
          </a:r>
          <a:endParaRPr lang="ka-GE" sz="1100"/>
        </a:p>
      </xdr:txBody>
    </xdr:sp>
    <xdr:clientData/>
  </xdr:twoCellAnchor>
  <xdr:twoCellAnchor>
    <xdr:from>
      <xdr:col>1</xdr:col>
      <xdr:colOff>66675</xdr:colOff>
      <xdr:row>217</xdr:row>
      <xdr:rowOff>133350</xdr:rowOff>
    </xdr:from>
    <xdr:to>
      <xdr:col>2</xdr:col>
      <xdr:colOff>1504950</xdr:colOff>
      <xdr:row>220</xdr:row>
      <xdr:rowOff>171450</xdr:rowOff>
    </xdr:to>
    <xdr:sp macro="" textlink="">
      <xdr:nvSpPr>
        <xdr:cNvPr id="33" name="TextBox 32"/>
        <xdr:cNvSpPr txBox="1"/>
      </xdr:nvSpPr>
      <xdr:spPr>
        <a:xfrm>
          <a:off x="752475" y="42843450"/>
          <a:ext cx="291465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a-GE" sz="1100"/>
            <a:t>აბრუნებს </a:t>
          </a:r>
          <a:r>
            <a:rPr lang="en-US" sz="1100"/>
            <a:t>unicode</a:t>
          </a:r>
          <a:r>
            <a:rPr lang="ka-GE" sz="1100"/>
            <a:t>-თ</a:t>
          </a:r>
          <a:r>
            <a:rPr lang="ka-GE" sz="1100" baseline="0"/>
            <a:t> დაწერილი სიმბოლოს კოდს</a:t>
          </a:r>
        </a:p>
        <a:p>
          <a:endParaRPr lang="ka-GE" sz="1100"/>
        </a:p>
      </xdr:txBody>
    </xdr:sp>
    <xdr:clientData/>
  </xdr:twoCellAnchor>
  <xdr:twoCellAnchor>
    <xdr:from>
      <xdr:col>1</xdr:col>
      <xdr:colOff>47625</xdr:colOff>
      <xdr:row>221</xdr:row>
      <xdr:rowOff>123825</xdr:rowOff>
    </xdr:from>
    <xdr:to>
      <xdr:col>2</xdr:col>
      <xdr:colOff>1390650</xdr:colOff>
      <xdr:row>225</xdr:row>
      <xdr:rowOff>9525</xdr:rowOff>
    </xdr:to>
    <xdr:sp macro="" textlink="">
      <xdr:nvSpPr>
        <xdr:cNvPr id="34" name="TextBox 33"/>
        <xdr:cNvSpPr txBox="1"/>
      </xdr:nvSpPr>
      <xdr:spPr>
        <a:xfrm>
          <a:off x="733425" y="43595925"/>
          <a:ext cx="2819400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a-GE" sz="1100"/>
            <a:t>კოდის მიხედვით ეძებს შესაბამისი უნიკოდის</a:t>
          </a:r>
          <a:r>
            <a:rPr lang="ka-GE" sz="1100" baseline="0"/>
            <a:t> სიმბოლოს</a:t>
          </a:r>
        </a:p>
        <a:p>
          <a:endParaRPr lang="ka-GE" sz="1100"/>
        </a:p>
      </xdr:txBody>
    </xdr:sp>
    <xdr:clientData/>
  </xdr:twoCellAnchor>
  <xdr:twoCellAnchor>
    <xdr:from>
      <xdr:col>0</xdr:col>
      <xdr:colOff>390524</xdr:colOff>
      <xdr:row>236</xdr:row>
      <xdr:rowOff>142875</xdr:rowOff>
    </xdr:from>
    <xdr:to>
      <xdr:col>2</xdr:col>
      <xdr:colOff>1266824</xdr:colOff>
      <xdr:row>241</xdr:row>
      <xdr:rowOff>85725</xdr:rowOff>
    </xdr:to>
    <xdr:sp macro="" textlink="">
      <xdr:nvSpPr>
        <xdr:cNvPr id="35" name="TextBox 34"/>
        <xdr:cNvSpPr txBox="1"/>
      </xdr:nvSpPr>
      <xdr:spPr>
        <a:xfrm>
          <a:off x="390524" y="46662975"/>
          <a:ext cx="3038475" cy="1076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dmax</a:t>
          </a:r>
          <a:r>
            <a:rPr lang="ka-GE" sz="1100" baseline="0"/>
            <a:t> კრიტერიუმების ცხრილის გამოყენებით მითითებული მონაცემებიდან მაქსიმუმის პოვნა და ამ მონაცემის გამოტანა</a:t>
          </a:r>
        </a:p>
        <a:p>
          <a:endParaRPr lang="ka-GE" sz="1100"/>
        </a:p>
      </xdr:txBody>
    </xdr:sp>
    <xdr:clientData/>
  </xdr:twoCellAnchor>
  <xdr:twoCellAnchor>
    <xdr:from>
      <xdr:col>4</xdr:col>
      <xdr:colOff>1724025</xdr:colOff>
      <xdr:row>248</xdr:row>
      <xdr:rowOff>123825</xdr:rowOff>
    </xdr:from>
    <xdr:to>
      <xdr:col>6</xdr:col>
      <xdr:colOff>1028700</xdr:colOff>
      <xdr:row>252</xdr:row>
      <xdr:rowOff>152400</xdr:rowOff>
    </xdr:to>
    <xdr:sp macro="" textlink="">
      <xdr:nvSpPr>
        <xdr:cNvPr id="36" name="TextBox 35"/>
        <xdr:cNvSpPr txBox="1"/>
      </xdr:nvSpPr>
      <xdr:spPr>
        <a:xfrm>
          <a:off x="7439025" y="49301400"/>
          <a:ext cx="2886075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a-GE" sz="1100"/>
            <a:t>მოცემული</a:t>
          </a:r>
          <a:r>
            <a:rPr lang="ka-GE" sz="1100" baseline="0"/>
            <a:t> კრიტერიუმების გათვალისწინებით დავაბრუნოთ მაქსიმალური ფასი</a:t>
          </a:r>
          <a:r>
            <a:rPr lang="en-US" sz="1100" baseline="0"/>
            <a:t> (DMAX)</a:t>
          </a:r>
          <a:endParaRPr lang="ka-GE" sz="1100"/>
        </a:p>
      </xdr:txBody>
    </xdr:sp>
    <xdr:clientData/>
  </xdr:twoCellAnchor>
  <xdr:twoCellAnchor>
    <xdr:from>
      <xdr:col>0</xdr:col>
      <xdr:colOff>466725</xdr:colOff>
      <xdr:row>252</xdr:row>
      <xdr:rowOff>57150</xdr:rowOff>
    </xdr:from>
    <xdr:to>
      <xdr:col>2</xdr:col>
      <xdr:colOff>361950</xdr:colOff>
      <xdr:row>254</xdr:row>
      <xdr:rowOff>76200</xdr:rowOff>
    </xdr:to>
    <xdr:sp macro="" textlink="">
      <xdr:nvSpPr>
        <xdr:cNvPr id="37" name="TextBox 36"/>
        <xdr:cNvSpPr txBox="1"/>
      </xdr:nvSpPr>
      <xdr:spPr>
        <a:xfrm>
          <a:off x="466725" y="49996725"/>
          <a:ext cx="2057400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areas </a:t>
          </a:r>
          <a:r>
            <a:rPr lang="ka-GE" sz="1100"/>
            <a:t>ვიგებთ მოჭიმული დიაპაზონების რაოდენობას</a:t>
          </a:r>
        </a:p>
        <a:p>
          <a:endParaRPr lang="ka-GE" sz="1100"/>
        </a:p>
      </xdr:txBody>
    </xdr:sp>
    <xdr:clientData/>
  </xdr:twoCellAnchor>
  <xdr:twoCellAnchor>
    <xdr:from>
      <xdr:col>6</xdr:col>
      <xdr:colOff>0</xdr:colOff>
      <xdr:row>264</xdr:row>
      <xdr:rowOff>0</xdr:rowOff>
    </xdr:from>
    <xdr:to>
      <xdr:col>7</xdr:col>
      <xdr:colOff>952500</xdr:colOff>
      <xdr:row>271</xdr:row>
      <xdr:rowOff>66675</xdr:rowOff>
    </xdr:to>
    <xdr:sp macro="" textlink="">
      <xdr:nvSpPr>
        <xdr:cNvPr id="38" name="Notched Right Arrow 37">
          <a:hlinkClick xmlns:r="http://schemas.openxmlformats.org/officeDocument/2006/relationships" r:id="rId1"/>
        </xdr:cNvPr>
        <xdr:cNvSpPr/>
      </xdr:nvSpPr>
      <xdr:spPr>
        <a:xfrm>
          <a:off x="9296400" y="52225575"/>
          <a:ext cx="2114550" cy="140017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a-GE" sz="1100"/>
            <a:t>შემდეგი</a:t>
          </a:r>
          <a:r>
            <a:rPr lang="ka-GE" sz="1100" baseline="0"/>
            <a:t> გვერდი</a:t>
          </a:r>
          <a:endParaRPr lang="ka-GE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9</xdr:row>
      <xdr:rowOff>0</xdr:rowOff>
    </xdr:from>
    <xdr:to>
      <xdr:col>8</xdr:col>
      <xdr:colOff>647700</xdr:colOff>
      <xdr:row>13</xdr:row>
      <xdr:rowOff>57150</xdr:rowOff>
    </xdr:to>
    <xdr:sp macro="" textlink="">
      <xdr:nvSpPr>
        <xdr:cNvPr id="2" name="TextBox 1"/>
        <xdr:cNvSpPr txBox="1"/>
      </xdr:nvSpPr>
      <xdr:spPr>
        <a:xfrm>
          <a:off x="3543300" y="762000"/>
          <a:ext cx="3019425" cy="819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a-GE" sz="1100"/>
            <a:t>მოცემულ დიაპაზონში შესაძლებელია მხოლოდ პირადობის ნომრის შეყვანა</a:t>
          </a:r>
        </a:p>
      </xdr:txBody>
    </xdr:sp>
    <xdr:clientData/>
  </xdr:twoCellAnchor>
  <xdr:twoCellAnchor>
    <xdr:from>
      <xdr:col>0</xdr:col>
      <xdr:colOff>657225</xdr:colOff>
      <xdr:row>0</xdr:row>
      <xdr:rowOff>104775</xdr:rowOff>
    </xdr:from>
    <xdr:to>
      <xdr:col>12</xdr:col>
      <xdr:colOff>371475</xdr:colOff>
      <xdr:row>8</xdr:row>
      <xdr:rowOff>28575</xdr:rowOff>
    </xdr:to>
    <xdr:sp macro="" textlink="">
      <xdr:nvSpPr>
        <xdr:cNvPr id="3" name="TextBox 2"/>
        <xdr:cNvSpPr txBox="1"/>
      </xdr:nvSpPr>
      <xdr:spPr>
        <a:xfrm>
          <a:off x="657225" y="104775"/>
          <a:ext cx="8372475" cy="1447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Data</a:t>
          </a:r>
          <a:r>
            <a:rPr lang="en-US" sz="1100" baseline="0"/>
            <a:t> validation</a:t>
          </a:r>
        </a:p>
        <a:p>
          <a:endParaRPr lang="en-US" sz="1100" baseline="0"/>
        </a:p>
        <a:p>
          <a:r>
            <a:rPr lang="ka-GE" sz="1100" baseline="0"/>
            <a:t>ლოგიკური ფუნქციები, </a:t>
          </a:r>
          <a:r>
            <a:rPr lang="en-US" sz="1100" baseline="0"/>
            <a:t>custom validation - </a:t>
          </a:r>
          <a:r>
            <a:rPr lang="ka-GE" sz="1100" baseline="0"/>
            <a:t>ისეთი კომბინაციები, რომლებიც ჩვენ არ გამოგვიყენებია, პირობა ჩამოყალიბებული. გამოიყენეთ თარიღის, დროის, ტექსტის და სხვა ფუნქციები. მათ შორის </a:t>
          </a:r>
          <a:r>
            <a:rPr lang="en-US" sz="1100" baseline="0"/>
            <a:t>is.</a:t>
          </a:r>
          <a:r>
            <a:rPr lang="ka-GE" sz="1100" baseline="0"/>
            <a:t> გამოიყენეთ ლოგიკური ფუნქციები.</a:t>
          </a:r>
          <a:endParaRPr lang="en-US" sz="1100" baseline="0"/>
        </a:p>
        <a:p>
          <a:r>
            <a:rPr lang="en-US" sz="1100" baseline="0"/>
            <a:t> </a:t>
          </a:r>
        </a:p>
        <a:p>
          <a:r>
            <a:rPr lang="ka-GE" sz="1100" baseline="0"/>
            <a:t>რაოდენობა 6.</a:t>
          </a:r>
          <a:endParaRPr lang="en-US" sz="1100"/>
        </a:p>
      </xdr:txBody>
    </xdr:sp>
    <xdr:clientData/>
  </xdr:twoCellAnchor>
  <xdr:twoCellAnchor>
    <xdr:from>
      <xdr:col>4</xdr:col>
      <xdr:colOff>190500</xdr:colOff>
      <xdr:row>23</xdr:row>
      <xdr:rowOff>95250</xdr:rowOff>
    </xdr:from>
    <xdr:to>
      <xdr:col>8</xdr:col>
      <xdr:colOff>209550</xdr:colOff>
      <xdr:row>30</xdr:row>
      <xdr:rowOff>28575</xdr:rowOff>
    </xdr:to>
    <xdr:sp macro="" textlink="">
      <xdr:nvSpPr>
        <xdr:cNvPr id="4" name="TextBox 3"/>
        <xdr:cNvSpPr txBox="1"/>
      </xdr:nvSpPr>
      <xdr:spPr>
        <a:xfrm>
          <a:off x="3362325" y="4476750"/>
          <a:ext cx="2762250" cy="1266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a-GE" sz="1100"/>
            <a:t>მოცემულ</a:t>
          </a:r>
          <a:r>
            <a:rPr lang="ka-GE" sz="1100" baseline="0"/>
            <a:t> დიაპაზონში ჩაიწეროს მხოლოდ სამნიშნა კენტი რიცხვები, რომელთა ციფრთა ჯამიც &gt;15-ზე და იყოფა სამზე და რომლიდანაც ფესვი არის მთელი რიცხვი</a:t>
          </a:r>
          <a:endParaRPr lang="ka-GE" sz="1100"/>
        </a:p>
      </xdr:txBody>
    </xdr:sp>
    <xdr:clientData/>
  </xdr:twoCellAnchor>
  <xdr:twoCellAnchor>
    <xdr:from>
      <xdr:col>4</xdr:col>
      <xdr:colOff>47625</xdr:colOff>
      <xdr:row>34</xdr:row>
      <xdr:rowOff>114300</xdr:rowOff>
    </xdr:from>
    <xdr:to>
      <xdr:col>9</xdr:col>
      <xdr:colOff>600075</xdr:colOff>
      <xdr:row>41</xdr:row>
      <xdr:rowOff>133350</xdr:rowOff>
    </xdr:to>
    <xdr:sp macro="" textlink="">
      <xdr:nvSpPr>
        <xdr:cNvPr id="5" name="TextBox 4"/>
        <xdr:cNvSpPr txBox="1"/>
      </xdr:nvSpPr>
      <xdr:spPr>
        <a:xfrm>
          <a:off x="3219450" y="6591300"/>
          <a:ext cx="3981450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a-GE" sz="1100"/>
            <a:t>მოცემულ დიაპაზონში შესაძლებელია</a:t>
          </a:r>
          <a:r>
            <a:rPr lang="ka-GE" sz="1100" baseline="0"/>
            <a:t> ჩაიწეროს თარიღები მხოლოდ 2015 წლის ნოემბრის თვის ორშაბათი, ოთხშაბათი ან პარასკევი</a:t>
          </a:r>
        </a:p>
        <a:p>
          <a:endParaRPr lang="ka-GE" sz="1100"/>
        </a:p>
      </xdr:txBody>
    </xdr:sp>
    <xdr:clientData/>
  </xdr:twoCellAnchor>
  <xdr:twoCellAnchor>
    <xdr:from>
      <xdr:col>4</xdr:col>
      <xdr:colOff>95251</xdr:colOff>
      <xdr:row>46</xdr:row>
      <xdr:rowOff>95250</xdr:rowOff>
    </xdr:from>
    <xdr:to>
      <xdr:col>9</xdr:col>
      <xdr:colOff>152401</xdr:colOff>
      <xdr:row>50</xdr:row>
      <xdr:rowOff>85725</xdr:rowOff>
    </xdr:to>
    <xdr:sp macro="" textlink="">
      <xdr:nvSpPr>
        <xdr:cNvPr id="6" name="TextBox 5"/>
        <xdr:cNvSpPr txBox="1"/>
      </xdr:nvSpPr>
      <xdr:spPr>
        <a:xfrm>
          <a:off x="3267076" y="8858250"/>
          <a:ext cx="3486150" cy="752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a-GE" sz="1100"/>
            <a:t>მოცემულ დიაპაზონში</a:t>
          </a:r>
          <a:r>
            <a:rPr lang="ka-GE" sz="1100" baseline="0"/>
            <a:t> შეიძლება შევიყვანოთ საათები 9-დან 13-მდე და 14-დან 18-მდე</a:t>
          </a:r>
          <a:endParaRPr lang="ka-GE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1998.730620717593" createdVersion="5" refreshedVersion="5" minRefreshableVersion="3" recordCount="18">
  <cacheSource type="worksheet">
    <worksheetSource ref="B4:L27" sheet="pivod table და subtotal"/>
  </cacheSource>
  <cacheFields count="11">
    <cacheField name="თანამშრომლის კოდი" numFmtId="49">
      <sharedItems/>
    </cacheField>
    <cacheField name="სახელი" numFmtId="0">
      <sharedItems containsBlank="1" count="18">
        <s v="ანა"/>
        <s v="ეკა"/>
        <s v="გიო"/>
        <s v="ნინო"/>
        <s v="ლაშა"/>
        <s v="სანდრო"/>
        <s v="ელენე"/>
        <s v="სოფო"/>
        <s v="ბექა"/>
        <s v="სალომე"/>
        <s v="ირაკლი"/>
        <s v="თამთა"/>
        <s v="ვახო"/>
        <s v="ნიკა"/>
        <s v="დათო"/>
        <s v="ლიკა"/>
        <s v="ზურა"/>
        <m/>
      </sharedItems>
    </cacheField>
    <cacheField name="გვარი" numFmtId="0">
      <sharedItems containsBlank="1" count="18">
        <s v="ბირთველაძე"/>
        <s v="ჭელიძე"/>
        <s v="ბერიძე"/>
        <s v="ასათიანი"/>
        <s v="ჭინჭარაძე"/>
        <s v="ქამანაშვილი"/>
        <s v="ბერძენიშვილი"/>
        <s v="არჩვაძე"/>
        <s v="ბარათაშვილი"/>
        <s v="ნოზაძე"/>
        <s v="აბაშიძე"/>
        <s v="იორდანიშვილი"/>
        <s v="შალიბაშვილი"/>
        <s v="ვაშალომიძე"/>
        <s v="ჩხეიძე"/>
        <s v="გუნცაძე"/>
        <s v="ტიტვინიძე"/>
        <m/>
      </sharedItems>
    </cacheField>
    <cacheField name="თანამდებობა" numFmtId="0">
      <sharedItems containsBlank="1" count="4">
        <s v="მენეჯერი"/>
        <s v="მოლარე"/>
        <s v="კონსულტანტი"/>
        <m/>
      </sharedItems>
    </cacheField>
    <cacheField name="ტელეფონი" numFmtId="0">
      <sharedItems containsString="0" containsBlank="1" containsNumber="1" containsInteger="1" minValue="555151617" maxValue="599868650"/>
    </cacheField>
    <cacheField name="ელ-ფოსტა" numFmtId="0">
      <sharedItems/>
    </cacheField>
    <cacheField name="ხელფასი" numFmtId="0">
      <sharedItems containsString="0" containsBlank="1" containsNumber="1" containsInteger="1" minValue="500" maxValue="1500"/>
    </cacheField>
    <cacheField name="დამატებითი საათები" numFmtId="0">
      <sharedItems containsString="0" containsBlank="1" containsNumber="1" containsInteger="1" minValue="1" maxValue="10"/>
    </cacheField>
    <cacheField name="ბონუსი" numFmtId="0">
      <sharedItems containsNonDate="0" containsString="0" containsBlank="1"/>
    </cacheField>
    <cacheField name="საბოლოო ხელფასი" numFmtId="0">
      <sharedItems containsNonDate="0" containsString="0" containsBlank="1" count="1">
        <m/>
      </sharedItems>
    </cacheField>
    <cacheField name="კვირის დღე" numFmtId="0">
      <sharedItems containsBlank="1" count="6">
        <s v="ორშაბათი"/>
        <s v="სამშაბათი"/>
        <s v="ოთხშაბათი"/>
        <s v="ხუთშაბათი"/>
        <s v="პარასკევი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">
  <r>
    <s v="0001"/>
    <x v="0"/>
    <x v="0"/>
    <x v="0"/>
    <n v="598456325"/>
    <s v="ana12@gmail.com"/>
    <n v="1500"/>
    <n v="3"/>
    <m/>
    <x v="0"/>
    <x v="0"/>
  </r>
  <r>
    <s v="0002"/>
    <x v="1"/>
    <x v="1"/>
    <x v="0"/>
    <n v="591748968"/>
    <s v="eka@gmail.com"/>
    <n v="1500"/>
    <n v="2"/>
    <m/>
    <x v="0"/>
    <x v="1"/>
  </r>
  <r>
    <s v="0003"/>
    <x v="2"/>
    <x v="2"/>
    <x v="1"/>
    <n v="599868650"/>
    <s v="giooo@gmail.com"/>
    <n v="900"/>
    <n v="3"/>
    <m/>
    <x v="0"/>
    <x v="0"/>
  </r>
  <r>
    <s v="0004"/>
    <x v="3"/>
    <x v="3"/>
    <x v="1"/>
    <n v="598111315"/>
    <s v="nini22@mail.ru"/>
    <n v="900"/>
    <n v="2"/>
    <m/>
    <x v="0"/>
    <x v="1"/>
  </r>
  <r>
    <s v="0005"/>
    <x v="4"/>
    <x v="4"/>
    <x v="1"/>
    <n v="577452535"/>
    <s v="lasha@yahoo.com"/>
    <n v="900"/>
    <n v="2"/>
    <m/>
    <x v="0"/>
    <x v="2"/>
  </r>
  <r>
    <s v="0006"/>
    <x v="5"/>
    <x v="5"/>
    <x v="1"/>
    <n v="568859565"/>
    <s v="sandro@mail.ru"/>
    <n v="900"/>
    <n v="1"/>
    <m/>
    <x v="0"/>
    <x v="3"/>
  </r>
  <r>
    <s v="0007"/>
    <x v="6"/>
    <x v="6"/>
    <x v="1"/>
    <n v="599121519"/>
    <s v="elene@yahoo.com"/>
    <n v="900"/>
    <n v="4"/>
    <m/>
    <x v="0"/>
    <x v="4"/>
  </r>
  <r>
    <s v="0008"/>
    <x v="7"/>
    <x v="7"/>
    <x v="2"/>
    <n v="555463535"/>
    <s v="sofo@gmail.com"/>
    <n v="700"/>
    <n v="2"/>
    <m/>
    <x v="0"/>
    <x v="0"/>
  </r>
  <r>
    <s v="0009"/>
    <x v="8"/>
    <x v="8"/>
    <x v="2"/>
    <n v="577203035"/>
    <s v="beqa@gmail.com"/>
    <n v="700"/>
    <n v="1"/>
    <m/>
    <x v="0"/>
    <x v="1"/>
  </r>
  <r>
    <s v="0010"/>
    <x v="9"/>
    <x v="9"/>
    <x v="2"/>
    <n v="599686263"/>
    <s v="salome@mail.ru"/>
    <n v="650"/>
    <n v="1"/>
    <m/>
    <x v="0"/>
    <x v="2"/>
  </r>
  <r>
    <s v="0011"/>
    <x v="10"/>
    <x v="10"/>
    <x v="2"/>
    <n v="593464515"/>
    <s v="irakli@hotmail.com"/>
    <n v="500"/>
    <n v="3"/>
    <m/>
    <x v="0"/>
    <x v="3"/>
  </r>
  <r>
    <s v="0012"/>
    <x v="11"/>
    <x v="11"/>
    <x v="2"/>
    <n v="599774572"/>
    <s v="tamta@mail.ru"/>
    <n v="600"/>
    <n v="2"/>
    <m/>
    <x v="0"/>
    <x v="4"/>
  </r>
  <r>
    <s v="0013"/>
    <x v="12"/>
    <x v="12"/>
    <x v="2"/>
    <n v="598253648"/>
    <s v="vaxo@gmail.com"/>
    <n v="700"/>
    <n v="3"/>
    <m/>
    <x v="0"/>
    <x v="1"/>
  </r>
  <r>
    <s v="0014"/>
    <x v="13"/>
    <x v="13"/>
    <x v="2"/>
    <n v="555151617"/>
    <s v="nika@yahoo.com"/>
    <n v="750"/>
    <n v="2"/>
    <m/>
    <x v="0"/>
    <x v="4"/>
  </r>
  <r>
    <s v="0015"/>
    <x v="14"/>
    <x v="14"/>
    <x v="2"/>
    <n v="558963620"/>
    <s v="dato@mail.ru"/>
    <n v="650"/>
    <n v="3"/>
    <m/>
    <x v="0"/>
    <x v="0"/>
  </r>
  <r>
    <s v="0016"/>
    <x v="15"/>
    <x v="15"/>
    <x v="2"/>
    <n v="577522013"/>
    <s v="lika@gmail.com"/>
    <n v="550"/>
    <n v="3"/>
    <m/>
    <x v="0"/>
    <x v="3"/>
  </r>
  <r>
    <s v="00012"/>
    <x v="16"/>
    <x v="16"/>
    <x v="0"/>
    <n v="598115483"/>
    <s v="zura--15@mail.ru"/>
    <n v="1500"/>
    <n v="10"/>
    <m/>
    <x v="0"/>
    <x v="4"/>
  </r>
  <r>
    <s v="00011"/>
    <x v="17"/>
    <x v="17"/>
    <x v="3"/>
    <m/>
    <s v="s@mail.ru"/>
    <m/>
    <m/>
    <m/>
    <x v="0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4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2">
  <location ref="N34:T45" firstHeaderRow="1" firstDataRow="2" firstDataCol="1" rowPageCount="1" colPageCount="1"/>
  <pivotFields count="11">
    <pivotField showAll="0"/>
    <pivotField showAll="0">
      <items count="19">
        <item x="0"/>
        <item x="8"/>
        <item x="2"/>
        <item x="14"/>
        <item x="1"/>
        <item x="6"/>
        <item x="12"/>
        <item x="16"/>
        <item x="11"/>
        <item x="10"/>
        <item x="4"/>
        <item x="15"/>
        <item x="13"/>
        <item x="3"/>
        <item x="9"/>
        <item x="5"/>
        <item x="7"/>
        <item x="17"/>
        <item t="default"/>
      </items>
    </pivotField>
    <pivotField axis="axisRow" showAll="0">
      <items count="19">
        <item x="10"/>
        <item x="7"/>
        <item x="3"/>
        <item x="8"/>
        <item x="2"/>
        <item x="6"/>
        <item x="0"/>
        <item x="15"/>
        <item x="13"/>
        <item x="11"/>
        <item x="9"/>
        <item x="16"/>
        <item x="5"/>
        <item x="12"/>
        <item x="14"/>
        <item x="1"/>
        <item x="4"/>
        <item x="17"/>
        <item t="default"/>
      </items>
    </pivotField>
    <pivotField axis="axisPage" showAll="0">
      <items count="5">
        <item x="2"/>
        <item x="0"/>
        <item x="1"/>
        <item x="3"/>
        <item t="default"/>
      </items>
    </pivotField>
    <pivotField showAll="0"/>
    <pivotField showAll="0"/>
    <pivotField dataField="1" showAll="0"/>
    <pivotField showAll="0"/>
    <pivotField showAll="0"/>
    <pivotField showAll="0">
      <items count="2">
        <item x="0"/>
        <item t="default"/>
      </items>
    </pivotField>
    <pivotField axis="axisCol" showAll="0">
      <items count="7">
        <item x="0"/>
        <item x="1"/>
        <item x="2"/>
        <item x="3"/>
        <item x="4"/>
        <item x="5"/>
        <item t="default"/>
      </items>
    </pivotField>
  </pivotFields>
  <rowFields count="1">
    <field x="2"/>
  </rowFields>
  <rowItems count="10">
    <i>
      <x/>
    </i>
    <i>
      <x v="1"/>
    </i>
    <i>
      <x v="3"/>
    </i>
    <i>
      <x v="7"/>
    </i>
    <i>
      <x v="8"/>
    </i>
    <i>
      <x v="9"/>
    </i>
    <i>
      <x v="10"/>
    </i>
    <i>
      <x v="13"/>
    </i>
    <i>
      <x v="14"/>
    </i>
    <i t="grand">
      <x/>
    </i>
  </rowItems>
  <colFields count="1">
    <field x="10"/>
  </colFields>
  <colItems count="6">
    <i>
      <x/>
    </i>
    <i>
      <x v="1"/>
    </i>
    <i>
      <x v="2"/>
    </i>
    <i>
      <x v="3"/>
    </i>
    <i>
      <x v="4"/>
    </i>
    <i t="grand">
      <x/>
    </i>
  </colItems>
  <pageFields count="1">
    <pageField fld="3" item="0" hier="-1"/>
  </pageFields>
  <dataFields count="1">
    <dataField name="Sum of ხელფასი" fld="6" baseField="2" baseItem="0"/>
  </dataFields>
  <chartFormats count="5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4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sofo@gmail.com" TargetMode="External"/><Relationship Id="rId13" Type="http://schemas.openxmlformats.org/officeDocument/2006/relationships/hyperlink" Target="mailto:vaxo@gmail.com" TargetMode="External"/><Relationship Id="rId18" Type="http://schemas.openxmlformats.org/officeDocument/2006/relationships/hyperlink" Target="mailto:s@mail.ru" TargetMode="External"/><Relationship Id="rId3" Type="http://schemas.openxmlformats.org/officeDocument/2006/relationships/hyperlink" Target="mailto:giooo@gmail.com" TargetMode="External"/><Relationship Id="rId7" Type="http://schemas.openxmlformats.org/officeDocument/2006/relationships/hyperlink" Target="mailto:elene@yahoo.com" TargetMode="External"/><Relationship Id="rId12" Type="http://schemas.openxmlformats.org/officeDocument/2006/relationships/hyperlink" Target="mailto:tamta@mail.ru" TargetMode="External"/><Relationship Id="rId17" Type="http://schemas.openxmlformats.org/officeDocument/2006/relationships/hyperlink" Target="mailto:zura--15@mail.ru" TargetMode="External"/><Relationship Id="rId2" Type="http://schemas.openxmlformats.org/officeDocument/2006/relationships/hyperlink" Target="mailto:eka@gmail.com" TargetMode="External"/><Relationship Id="rId16" Type="http://schemas.openxmlformats.org/officeDocument/2006/relationships/hyperlink" Target="mailto:lika@gmail.com" TargetMode="External"/><Relationship Id="rId1" Type="http://schemas.openxmlformats.org/officeDocument/2006/relationships/hyperlink" Target="mailto:ana12@gmail.com" TargetMode="External"/><Relationship Id="rId6" Type="http://schemas.openxmlformats.org/officeDocument/2006/relationships/hyperlink" Target="mailto:sandro@mail.ru" TargetMode="External"/><Relationship Id="rId11" Type="http://schemas.openxmlformats.org/officeDocument/2006/relationships/hyperlink" Target="mailto:irakli@hotmail.com" TargetMode="External"/><Relationship Id="rId5" Type="http://schemas.openxmlformats.org/officeDocument/2006/relationships/hyperlink" Target="mailto:lasha@yahoo.com" TargetMode="External"/><Relationship Id="rId15" Type="http://schemas.openxmlformats.org/officeDocument/2006/relationships/hyperlink" Target="mailto:dato@mail.ru" TargetMode="External"/><Relationship Id="rId10" Type="http://schemas.openxmlformats.org/officeDocument/2006/relationships/hyperlink" Target="mailto:salome@mail.ru" TargetMode="External"/><Relationship Id="rId19" Type="http://schemas.openxmlformats.org/officeDocument/2006/relationships/drawing" Target="../drawings/drawing2.xml"/><Relationship Id="rId4" Type="http://schemas.openxmlformats.org/officeDocument/2006/relationships/hyperlink" Target="mailto:nini22@mail.ru" TargetMode="External"/><Relationship Id="rId9" Type="http://schemas.openxmlformats.org/officeDocument/2006/relationships/hyperlink" Target="mailto:beqa@gmail.com" TargetMode="External"/><Relationship Id="rId14" Type="http://schemas.openxmlformats.org/officeDocument/2006/relationships/hyperlink" Target="mailto:nika@yahoo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salosalo@gmail.com" TargetMode="External"/><Relationship Id="rId2" Type="http://schemas.openxmlformats.org/officeDocument/2006/relationships/hyperlink" Target="mailto:nino20@mail.ru" TargetMode="External"/><Relationship Id="rId1" Type="http://schemas.openxmlformats.org/officeDocument/2006/relationships/hyperlink" Target="mailto:nika12@gmail.com" TargetMode="Externa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elene@yahoo.com" TargetMode="External"/><Relationship Id="rId13" Type="http://schemas.openxmlformats.org/officeDocument/2006/relationships/hyperlink" Target="mailto:tamta@mail.ru" TargetMode="External"/><Relationship Id="rId18" Type="http://schemas.openxmlformats.org/officeDocument/2006/relationships/hyperlink" Target="mailto:zura--15@mail.ru" TargetMode="External"/><Relationship Id="rId3" Type="http://schemas.openxmlformats.org/officeDocument/2006/relationships/hyperlink" Target="mailto:eka@gmail.com" TargetMode="External"/><Relationship Id="rId7" Type="http://schemas.openxmlformats.org/officeDocument/2006/relationships/hyperlink" Target="mailto:sandro@mail.ru" TargetMode="External"/><Relationship Id="rId12" Type="http://schemas.openxmlformats.org/officeDocument/2006/relationships/hyperlink" Target="mailto:irakli@hotmail.com" TargetMode="External"/><Relationship Id="rId17" Type="http://schemas.openxmlformats.org/officeDocument/2006/relationships/hyperlink" Target="mailto:lika@gmail.com" TargetMode="External"/><Relationship Id="rId2" Type="http://schemas.openxmlformats.org/officeDocument/2006/relationships/hyperlink" Target="mailto:ana12@gmail.com" TargetMode="External"/><Relationship Id="rId16" Type="http://schemas.openxmlformats.org/officeDocument/2006/relationships/hyperlink" Target="mailto:dato@mail.ru" TargetMode="External"/><Relationship Id="rId1" Type="http://schemas.openxmlformats.org/officeDocument/2006/relationships/pivotTable" Target="../pivotTables/pivotTable1.xml"/><Relationship Id="rId6" Type="http://schemas.openxmlformats.org/officeDocument/2006/relationships/hyperlink" Target="mailto:lasha@yahoo.com" TargetMode="External"/><Relationship Id="rId11" Type="http://schemas.openxmlformats.org/officeDocument/2006/relationships/hyperlink" Target="mailto:salome@mail.ru" TargetMode="External"/><Relationship Id="rId5" Type="http://schemas.openxmlformats.org/officeDocument/2006/relationships/hyperlink" Target="mailto:nini22@mail.ru" TargetMode="External"/><Relationship Id="rId15" Type="http://schemas.openxmlformats.org/officeDocument/2006/relationships/hyperlink" Target="mailto:nika@yahoo.com" TargetMode="External"/><Relationship Id="rId10" Type="http://schemas.openxmlformats.org/officeDocument/2006/relationships/hyperlink" Target="mailto:beqa@gmail.com" TargetMode="External"/><Relationship Id="rId19" Type="http://schemas.openxmlformats.org/officeDocument/2006/relationships/drawing" Target="../drawings/drawing7.xml"/><Relationship Id="rId4" Type="http://schemas.openxmlformats.org/officeDocument/2006/relationships/hyperlink" Target="mailto:giooo@gmail.com" TargetMode="External"/><Relationship Id="rId9" Type="http://schemas.openxmlformats.org/officeDocument/2006/relationships/hyperlink" Target="mailto:sofo@gmail.com" TargetMode="External"/><Relationship Id="rId14" Type="http://schemas.openxmlformats.org/officeDocument/2006/relationships/hyperlink" Target="mailto:vaxo@gmail.com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G16"/>
  <sheetViews>
    <sheetView workbookViewId="0">
      <selection activeCell="F14" sqref="F14"/>
    </sheetView>
  </sheetViews>
  <sheetFormatPr defaultRowHeight="15" x14ac:dyDescent="0.25"/>
  <cols>
    <col min="3" max="3" width="21.875" bestFit="1" customWidth="1"/>
    <col min="4" max="4" width="16.375" bestFit="1" customWidth="1"/>
  </cols>
  <sheetData>
    <row r="4" spans="3:7" x14ac:dyDescent="0.25">
      <c r="C4" t="s">
        <v>97</v>
      </c>
      <c r="D4" t="s">
        <v>105</v>
      </c>
    </row>
    <row r="5" spans="3:7" x14ac:dyDescent="0.25">
      <c r="C5" t="s">
        <v>98</v>
      </c>
      <c r="D5">
        <v>4</v>
      </c>
    </row>
    <row r="7" spans="3:7" x14ac:dyDescent="0.25">
      <c r="C7" t="s">
        <v>99</v>
      </c>
      <c r="D7" t="s">
        <v>106</v>
      </c>
    </row>
    <row r="10" spans="3:7" x14ac:dyDescent="0.25">
      <c r="F10" s="3" t="s">
        <v>100</v>
      </c>
      <c r="G10">
        <v>6</v>
      </c>
    </row>
    <row r="11" spans="3:7" x14ac:dyDescent="0.25">
      <c r="F11" s="3" t="s">
        <v>101</v>
      </c>
      <c r="G11">
        <v>6</v>
      </c>
    </row>
    <row r="12" spans="3:7" x14ac:dyDescent="0.25">
      <c r="F12" s="3" t="s">
        <v>102</v>
      </c>
      <c r="G12">
        <v>6</v>
      </c>
    </row>
    <row r="13" spans="3:7" x14ac:dyDescent="0.25">
      <c r="F13" s="3" t="s">
        <v>103</v>
      </c>
      <c r="G13">
        <v>6</v>
      </c>
    </row>
    <row r="14" spans="3:7" x14ac:dyDescent="0.25">
      <c r="F14" s="3" t="s">
        <v>104</v>
      </c>
      <c r="G14">
        <v>6</v>
      </c>
    </row>
    <row r="16" spans="3:7" x14ac:dyDescent="0.25">
      <c r="G16">
        <f>SUM(G10:G15)</f>
        <v>30</v>
      </c>
    </row>
  </sheetData>
  <hyperlinks>
    <hyperlink ref="F10" location="'მოგება(ამოცანა1)'!A1" display="ამოცანა 1"/>
    <hyperlink ref="F11" location="'გაიდული პროდუქცია(ამოცანა2)'!A1" display="ამოცანა 2"/>
    <hyperlink ref="F12" location="'პროდუქტი(სორტირება)(ამოცანა3)'!A1" display="ამოცანა 3"/>
    <hyperlink ref="F13" location="'პროდუქტი(ამოცანა4)'!A1" display="ამოცანა 4"/>
    <hyperlink ref="F14" location="'ამოცანა 5'!A1" display="ამოცანა 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L54"/>
  <sheetViews>
    <sheetView tabSelected="1" workbookViewId="0"/>
  </sheetViews>
  <sheetFormatPr defaultRowHeight="15" x14ac:dyDescent="0.25"/>
  <cols>
    <col min="2" max="2" width="14.625" customWidth="1"/>
  </cols>
  <sheetData>
    <row r="10" spans="2:2" x14ac:dyDescent="0.25">
      <c r="B10" s="10"/>
    </row>
    <row r="11" spans="2:2" x14ac:dyDescent="0.25">
      <c r="B11" s="10"/>
    </row>
    <row r="12" spans="2:2" x14ac:dyDescent="0.25">
      <c r="B12" s="10"/>
    </row>
    <row r="13" spans="2:2" x14ac:dyDescent="0.25">
      <c r="B13" s="10"/>
    </row>
    <row r="14" spans="2:2" x14ac:dyDescent="0.25">
      <c r="B14" s="10"/>
    </row>
    <row r="15" spans="2:2" x14ac:dyDescent="0.25">
      <c r="B15" s="10"/>
    </row>
    <row r="16" spans="2:2" x14ac:dyDescent="0.25">
      <c r="B16" s="10"/>
    </row>
    <row r="17" spans="2:12" x14ac:dyDescent="0.25">
      <c r="B17" s="10"/>
    </row>
    <row r="18" spans="2:12" x14ac:dyDescent="0.25">
      <c r="B18" s="10"/>
    </row>
    <row r="19" spans="2:12" x14ac:dyDescent="0.25">
      <c r="B19" s="10"/>
    </row>
    <row r="20" spans="2:12" x14ac:dyDescent="0.25">
      <c r="B20" s="10"/>
    </row>
    <row r="24" spans="2:12" x14ac:dyDescent="0.25">
      <c r="B24" s="10">
        <v>729</v>
      </c>
    </row>
    <row r="25" spans="2:12" x14ac:dyDescent="0.25">
      <c r="B25" s="10">
        <v>529</v>
      </c>
      <c r="L25">
        <f>28*28</f>
        <v>784</v>
      </c>
    </row>
    <row r="26" spans="2:12" x14ac:dyDescent="0.25">
      <c r="B26" s="10"/>
      <c r="L26">
        <f>31*31</f>
        <v>961</v>
      </c>
    </row>
    <row r="27" spans="2:12" x14ac:dyDescent="0.25">
      <c r="B27" s="10"/>
      <c r="L27">
        <f>32*32</f>
        <v>1024</v>
      </c>
    </row>
    <row r="28" spans="2:12" x14ac:dyDescent="0.25">
      <c r="B28" s="10"/>
      <c r="L28">
        <f>29*29</f>
        <v>841</v>
      </c>
    </row>
    <row r="29" spans="2:12" x14ac:dyDescent="0.25">
      <c r="B29" s="10"/>
      <c r="L29">
        <f>27*27</f>
        <v>729</v>
      </c>
    </row>
    <row r="30" spans="2:12" x14ac:dyDescent="0.25">
      <c r="B30" s="10"/>
      <c r="L30">
        <f>25*25</f>
        <v>625</v>
      </c>
    </row>
    <row r="31" spans="2:12" x14ac:dyDescent="0.25">
      <c r="B31" s="10"/>
      <c r="L31">
        <f>23*23</f>
        <v>529</v>
      </c>
    </row>
    <row r="32" spans="2:12" x14ac:dyDescent="0.25">
      <c r="B32" s="10"/>
    </row>
    <row r="36" spans="2:2" x14ac:dyDescent="0.25">
      <c r="B36" s="38">
        <v>42310</v>
      </c>
    </row>
    <row r="37" spans="2:2" x14ac:dyDescent="0.25">
      <c r="B37" s="38"/>
    </row>
    <row r="38" spans="2:2" x14ac:dyDescent="0.25">
      <c r="B38" s="10"/>
    </row>
    <row r="39" spans="2:2" x14ac:dyDescent="0.25">
      <c r="B39" s="10"/>
    </row>
    <row r="40" spans="2:2" x14ac:dyDescent="0.25">
      <c r="B40" s="10"/>
    </row>
    <row r="41" spans="2:2" x14ac:dyDescent="0.25">
      <c r="B41" s="10"/>
    </row>
    <row r="42" spans="2:2" x14ac:dyDescent="0.25">
      <c r="B42" s="10"/>
    </row>
    <row r="43" spans="2:2" x14ac:dyDescent="0.25">
      <c r="B43" s="10"/>
    </row>
    <row r="44" spans="2:2" x14ac:dyDescent="0.25">
      <c r="B44" s="10"/>
    </row>
    <row r="47" spans="2:2" x14ac:dyDescent="0.25">
      <c r="B47" s="39">
        <v>0.375</v>
      </c>
    </row>
    <row r="48" spans="2:2" x14ac:dyDescent="0.25">
      <c r="B48" s="39">
        <v>0.54097222222222219</v>
      </c>
    </row>
    <row r="49" spans="2:2" x14ac:dyDescent="0.25">
      <c r="B49" s="39">
        <v>0.58333333333333337</v>
      </c>
    </row>
    <row r="50" spans="2:2" x14ac:dyDescent="0.25">
      <c r="B50" s="10"/>
    </row>
    <row r="51" spans="2:2" x14ac:dyDescent="0.25">
      <c r="B51" s="10"/>
    </row>
    <row r="52" spans="2:2" x14ac:dyDescent="0.25">
      <c r="B52" s="10"/>
    </row>
    <row r="53" spans="2:2" x14ac:dyDescent="0.25">
      <c r="B53" s="10"/>
    </row>
    <row r="54" spans="2:2" x14ac:dyDescent="0.25">
      <c r="B54" s="10"/>
    </row>
  </sheetData>
  <dataValidations count="4">
    <dataValidation type="custom" allowBlank="1" showInputMessage="1" showErrorMessage="1" sqref="B10:B20">
      <formula1>AND(ISNUMBER(B10),LEN(B10)=11)</formula1>
    </dataValidation>
    <dataValidation type="custom" allowBlank="1" showInputMessage="1" showErrorMessage="1" sqref="B24:B32">
      <formula1>AND(LEN(B24)=3,ISODD(B24), MID(B24,1,1)+MID(B24,2,1)+MID(B24,3,1)&gt;15,ISNUMBER(B24/3),ISNUMBER(SQRT(B24)))</formula1>
    </dataValidation>
    <dataValidation type="custom" allowBlank="1" showInputMessage="1" showErrorMessage="1" sqref="B36:B44">
      <formula1>AND(YEAR(B36)=2015,MONTH(B36)=11, OR(WEEKDAY(B36)=2,WEEKDAY(B36)=4,WEEKDAY(B36)=6))</formula1>
    </dataValidation>
    <dataValidation type="custom" allowBlank="1" showInputMessage="1" showErrorMessage="1" sqref="B47:B54">
      <formula1>OR(AND(HOUR(B47)&gt;=9,HOUR(B47)&lt;13),AND(HOUR(B47)&gt;=14,HOUR(B47)&lt;18))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33"/>
  <sheetViews>
    <sheetView topLeftCell="K4" workbookViewId="0">
      <selection activeCell="AB21" sqref="AB21"/>
    </sheetView>
  </sheetViews>
  <sheetFormatPr defaultRowHeight="15" x14ac:dyDescent="0.25"/>
  <cols>
    <col min="2" max="2" width="11.75" bestFit="1" customWidth="1"/>
    <col min="3" max="3" width="13.375" customWidth="1"/>
    <col min="4" max="4" width="11" bestFit="1" customWidth="1"/>
    <col min="5" max="5" width="9.25" customWidth="1"/>
  </cols>
  <sheetData>
    <row r="5" spans="2:12" x14ac:dyDescent="0.25">
      <c r="B5" t="s">
        <v>83</v>
      </c>
      <c r="C5" t="s">
        <v>136</v>
      </c>
      <c r="D5" s="7" t="s">
        <v>138</v>
      </c>
      <c r="E5" t="s">
        <v>155</v>
      </c>
      <c r="F5" t="s">
        <v>141</v>
      </c>
      <c r="G5" t="s">
        <v>145</v>
      </c>
      <c r="H5" t="s">
        <v>156</v>
      </c>
      <c r="I5" t="s">
        <v>147</v>
      </c>
      <c r="J5" t="s">
        <v>157</v>
      </c>
      <c r="K5" t="s">
        <v>154</v>
      </c>
      <c r="L5" t="s">
        <v>153</v>
      </c>
    </row>
    <row r="6" spans="2:12" x14ac:dyDescent="0.25">
      <c r="B6" t="s">
        <v>84</v>
      </c>
      <c r="C6">
        <f t="shared" ref="C6:L17" ca="1" si="0">RANDBETWEEN(1000,5000)</f>
        <v>1813</v>
      </c>
      <c r="D6">
        <f t="shared" ca="1" si="0"/>
        <v>4328</v>
      </c>
      <c r="E6">
        <f t="shared" ca="1" si="0"/>
        <v>2572</v>
      </c>
      <c r="F6">
        <f t="shared" ca="1" si="0"/>
        <v>1729</v>
      </c>
      <c r="G6">
        <f t="shared" ca="1" si="0"/>
        <v>1570</v>
      </c>
      <c r="H6">
        <f t="shared" ca="1" si="0"/>
        <v>4196</v>
      </c>
      <c r="I6">
        <f t="shared" ca="1" si="0"/>
        <v>3365</v>
      </c>
      <c r="J6">
        <f t="shared" ca="1" si="0"/>
        <v>1346</v>
      </c>
      <c r="K6">
        <f t="shared" ca="1" si="0"/>
        <v>1242</v>
      </c>
      <c r="L6">
        <f t="shared" ca="1" si="0"/>
        <v>2119</v>
      </c>
    </row>
    <row r="7" spans="2:12" x14ac:dyDescent="0.25">
      <c r="B7" t="s">
        <v>85</v>
      </c>
      <c r="C7">
        <f t="shared" ca="1" si="0"/>
        <v>2523</v>
      </c>
      <c r="D7">
        <f t="shared" ca="1" si="0"/>
        <v>4551</v>
      </c>
      <c r="E7">
        <f t="shared" ca="1" si="0"/>
        <v>3935</v>
      </c>
      <c r="F7">
        <f t="shared" ca="1" si="0"/>
        <v>3520</v>
      </c>
      <c r="G7">
        <f t="shared" ca="1" si="0"/>
        <v>2459</v>
      </c>
      <c r="H7">
        <f t="shared" ca="1" si="0"/>
        <v>2034</v>
      </c>
      <c r="I7">
        <f t="shared" ca="1" si="0"/>
        <v>2486</v>
      </c>
      <c r="J7">
        <f t="shared" ca="1" si="0"/>
        <v>2311</v>
      </c>
      <c r="K7">
        <f t="shared" ca="1" si="0"/>
        <v>1835</v>
      </c>
      <c r="L7">
        <f t="shared" ca="1" si="0"/>
        <v>2131</v>
      </c>
    </row>
    <row r="8" spans="2:12" x14ac:dyDescent="0.25">
      <c r="B8" t="s">
        <v>86</v>
      </c>
      <c r="C8">
        <f t="shared" ca="1" si="0"/>
        <v>1236</v>
      </c>
      <c r="D8">
        <f t="shared" ca="1" si="0"/>
        <v>2263</v>
      </c>
      <c r="E8">
        <f t="shared" ca="1" si="0"/>
        <v>3683</v>
      </c>
      <c r="F8">
        <f t="shared" ca="1" si="0"/>
        <v>1183</v>
      </c>
      <c r="G8">
        <f t="shared" ca="1" si="0"/>
        <v>3596</v>
      </c>
      <c r="H8">
        <f t="shared" ca="1" si="0"/>
        <v>1688</v>
      </c>
      <c r="I8">
        <f t="shared" ca="1" si="0"/>
        <v>1099</v>
      </c>
      <c r="J8">
        <f t="shared" ca="1" si="0"/>
        <v>4276</v>
      </c>
      <c r="K8">
        <f t="shared" ca="1" si="0"/>
        <v>2187</v>
      </c>
      <c r="L8">
        <f t="shared" ca="1" si="0"/>
        <v>3860</v>
      </c>
    </row>
    <row r="9" spans="2:12" x14ac:dyDescent="0.25">
      <c r="B9" t="s">
        <v>87</v>
      </c>
      <c r="C9">
        <f t="shared" ca="1" si="0"/>
        <v>2452</v>
      </c>
      <c r="D9">
        <f t="shared" ca="1" si="0"/>
        <v>1811</v>
      </c>
      <c r="E9">
        <f t="shared" ca="1" si="0"/>
        <v>2474</v>
      </c>
      <c r="F9">
        <f t="shared" ca="1" si="0"/>
        <v>4111</v>
      </c>
      <c r="G9">
        <f t="shared" ca="1" si="0"/>
        <v>2668</v>
      </c>
      <c r="H9">
        <f t="shared" ca="1" si="0"/>
        <v>3067</v>
      </c>
      <c r="I9">
        <f t="shared" ca="1" si="0"/>
        <v>4725</v>
      </c>
      <c r="J9">
        <f t="shared" ca="1" si="0"/>
        <v>2354</v>
      </c>
      <c r="K9">
        <f t="shared" ca="1" si="0"/>
        <v>3980</v>
      </c>
      <c r="L9">
        <f t="shared" ca="1" si="0"/>
        <v>2083</v>
      </c>
    </row>
    <row r="10" spans="2:12" x14ac:dyDescent="0.25">
      <c r="B10" t="s">
        <v>88</v>
      </c>
      <c r="C10">
        <f t="shared" ca="1" si="0"/>
        <v>4430</v>
      </c>
      <c r="D10">
        <f t="shared" ca="1" si="0"/>
        <v>3112</v>
      </c>
      <c r="E10">
        <f t="shared" ca="1" si="0"/>
        <v>1086</v>
      </c>
      <c r="F10">
        <f t="shared" ca="1" si="0"/>
        <v>4353</v>
      </c>
      <c r="G10">
        <f t="shared" ca="1" si="0"/>
        <v>1928</v>
      </c>
      <c r="H10">
        <f t="shared" ca="1" si="0"/>
        <v>2858</v>
      </c>
      <c r="I10">
        <f t="shared" ca="1" si="0"/>
        <v>3566</v>
      </c>
      <c r="J10">
        <f t="shared" ca="1" si="0"/>
        <v>2572</v>
      </c>
      <c r="K10">
        <f t="shared" ca="1" si="0"/>
        <v>4825</v>
      </c>
      <c r="L10">
        <f t="shared" ca="1" si="0"/>
        <v>4571</v>
      </c>
    </row>
    <row r="11" spans="2:12" x14ac:dyDescent="0.25">
      <c r="B11" t="s">
        <v>89</v>
      </c>
      <c r="C11">
        <f t="shared" ca="1" si="0"/>
        <v>3908</v>
      </c>
      <c r="D11">
        <f t="shared" ca="1" si="0"/>
        <v>2180</v>
      </c>
      <c r="E11">
        <f t="shared" ca="1" si="0"/>
        <v>2886</v>
      </c>
      <c r="F11">
        <f t="shared" ca="1" si="0"/>
        <v>4491</v>
      </c>
      <c r="G11">
        <f t="shared" ca="1" si="0"/>
        <v>1745</v>
      </c>
      <c r="H11">
        <f t="shared" ca="1" si="0"/>
        <v>4562</v>
      </c>
      <c r="I11">
        <f t="shared" ca="1" si="0"/>
        <v>1014</v>
      </c>
      <c r="J11">
        <f t="shared" ca="1" si="0"/>
        <v>4377</v>
      </c>
      <c r="K11">
        <f t="shared" ca="1" si="0"/>
        <v>2058</v>
      </c>
      <c r="L11">
        <f t="shared" ca="1" si="0"/>
        <v>3129</v>
      </c>
    </row>
    <row r="12" spans="2:12" x14ac:dyDescent="0.25">
      <c r="B12" t="s">
        <v>90</v>
      </c>
      <c r="C12">
        <f t="shared" ca="1" si="0"/>
        <v>2492</v>
      </c>
      <c r="D12">
        <f t="shared" ca="1" si="0"/>
        <v>2225</v>
      </c>
      <c r="E12">
        <f t="shared" ca="1" si="0"/>
        <v>1010</v>
      </c>
      <c r="F12">
        <f t="shared" ca="1" si="0"/>
        <v>2510</v>
      </c>
      <c r="G12">
        <f t="shared" ca="1" si="0"/>
        <v>1095</v>
      </c>
      <c r="H12">
        <f t="shared" ca="1" si="0"/>
        <v>4179</v>
      </c>
      <c r="I12">
        <f t="shared" ca="1" si="0"/>
        <v>4589</v>
      </c>
      <c r="J12">
        <f t="shared" ca="1" si="0"/>
        <v>3126</v>
      </c>
      <c r="K12">
        <f t="shared" ca="1" si="0"/>
        <v>3372</v>
      </c>
      <c r="L12">
        <f t="shared" ca="1" si="0"/>
        <v>1479</v>
      </c>
    </row>
    <row r="13" spans="2:12" x14ac:dyDescent="0.25">
      <c r="B13" t="s">
        <v>91</v>
      </c>
      <c r="C13">
        <f t="shared" ca="1" si="0"/>
        <v>3869</v>
      </c>
      <c r="D13">
        <f t="shared" ca="1" si="0"/>
        <v>3565</v>
      </c>
      <c r="E13">
        <f t="shared" ca="1" si="0"/>
        <v>4995</v>
      </c>
      <c r="F13">
        <f t="shared" ca="1" si="0"/>
        <v>4436</v>
      </c>
      <c r="G13">
        <f t="shared" ca="1" si="0"/>
        <v>4948</v>
      </c>
      <c r="H13">
        <f t="shared" ca="1" si="0"/>
        <v>2378</v>
      </c>
      <c r="I13">
        <f t="shared" ca="1" si="0"/>
        <v>3131</v>
      </c>
      <c r="J13">
        <f t="shared" ca="1" si="0"/>
        <v>3512</v>
      </c>
      <c r="K13">
        <f t="shared" ca="1" si="0"/>
        <v>4432</v>
      </c>
      <c r="L13">
        <f t="shared" ca="1" si="0"/>
        <v>1505</v>
      </c>
    </row>
    <row r="14" spans="2:12" x14ac:dyDescent="0.25">
      <c r="B14" t="s">
        <v>92</v>
      </c>
      <c r="C14">
        <f t="shared" ca="1" si="0"/>
        <v>1244</v>
      </c>
      <c r="D14">
        <f t="shared" ca="1" si="0"/>
        <v>2630</v>
      </c>
      <c r="E14">
        <f t="shared" ca="1" si="0"/>
        <v>4298</v>
      </c>
      <c r="F14">
        <f t="shared" ca="1" si="0"/>
        <v>3283</v>
      </c>
      <c r="G14">
        <f t="shared" ca="1" si="0"/>
        <v>3389</v>
      </c>
      <c r="H14">
        <f t="shared" ca="1" si="0"/>
        <v>4933</v>
      </c>
      <c r="I14">
        <f t="shared" ca="1" si="0"/>
        <v>1531</v>
      </c>
      <c r="J14">
        <f t="shared" ca="1" si="0"/>
        <v>4658</v>
      </c>
      <c r="K14">
        <f t="shared" ca="1" si="0"/>
        <v>1899</v>
      </c>
      <c r="L14">
        <f t="shared" ca="1" si="0"/>
        <v>1266</v>
      </c>
    </row>
    <row r="15" spans="2:12" x14ac:dyDescent="0.25">
      <c r="B15" t="s">
        <v>93</v>
      </c>
      <c r="C15">
        <f t="shared" ca="1" si="0"/>
        <v>3595</v>
      </c>
      <c r="D15">
        <f t="shared" ca="1" si="0"/>
        <v>1317</v>
      </c>
      <c r="E15">
        <f t="shared" ca="1" si="0"/>
        <v>1564</v>
      </c>
      <c r="F15">
        <f t="shared" ca="1" si="0"/>
        <v>1819</v>
      </c>
      <c r="G15">
        <f t="shared" ca="1" si="0"/>
        <v>1298</v>
      </c>
      <c r="H15">
        <f t="shared" ca="1" si="0"/>
        <v>1038</v>
      </c>
      <c r="I15">
        <f t="shared" ca="1" si="0"/>
        <v>1771</v>
      </c>
      <c r="J15">
        <f t="shared" ca="1" si="0"/>
        <v>4675</v>
      </c>
      <c r="K15">
        <f t="shared" ca="1" si="0"/>
        <v>1992</v>
      </c>
      <c r="L15">
        <f t="shared" ca="1" si="0"/>
        <v>3353</v>
      </c>
    </row>
    <row r="16" spans="2:12" x14ac:dyDescent="0.25">
      <c r="B16" t="s">
        <v>94</v>
      </c>
      <c r="C16">
        <f t="shared" ca="1" si="0"/>
        <v>4687</v>
      </c>
      <c r="D16">
        <f t="shared" ca="1" si="0"/>
        <v>4142</v>
      </c>
      <c r="E16">
        <f t="shared" ca="1" si="0"/>
        <v>4004</v>
      </c>
      <c r="F16">
        <f t="shared" ca="1" si="0"/>
        <v>2716</v>
      </c>
      <c r="G16">
        <f t="shared" ca="1" si="0"/>
        <v>2462</v>
      </c>
      <c r="H16">
        <f t="shared" ca="1" si="0"/>
        <v>2395</v>
      </c>
      <c r="I16">
        <f t="shared" ca="1" si="0"/>
        <v>3913</v>
      </c>
      <c r="J16">
        <f t="shared" ca="1" si="0"/>
        <v>1819</v>
      </c>
      <c r="K16">
        <f t="shared" ca="1" si="0"/>
        <v>1244</v>
      </c>
      <c r="L16">
        <f t="shared" ca="1" si="0"/>
        <v>3666</v>
      </c>
    </row>
    <row r="17" spans="2:12" x14ac:dyDescent="0.25">
      <c r="B17" t="s">
        <v>95</v>
      </c>
      <c r="C17">
        <f t="shared" ca="1" si="0"/>
        <v>4835</v>
      </c>
      <c r="D17">
        <f t="shared" ca="1" si="0"/>
        <v>1421</v>
      </c>
      <c r="E17">
        <f t="shared" ca="1" si="0"/>
        <v>4521</v>
      </c>
      <c r="F17">
        <f t="shared" ca="1" si="0"/>
        <v>3724</v>
      </c>
      <c r="G17">
        <f t="shared" ca="1" si="0"/>
        <v>2552</v>
      </c>
      <c r="H17">
        <f t="shared" ca="1" si="0"/>
        <v>2712</v>
      </c>
      <c r="I17">
        <f t="shared" ca="1" si="0"/>
        <v>4304</v>
      </c>
      <c r="J17">
        <f t="shared" ca="1" si="0"/>
        <v>3967</v>
      </c>
      <c r="K17">
        <f t="shared" ca="1" si="0"/>
        <v>3176</v>
      </c>
      <c r="L17">
        <f t="shared" ca="1" si="0"/>
        <v>3624</v>
      </c>
    </row>
    <row r="22" spans="2:12" x14ac:dyDescent="0.25">
      <c r="B22" t="s">
        <v>160</v>
      </c>
      <c r="C22" t="s">
        <v>88</v>
      </c>
    </row>
    <row r="23" spans="2:12" x14ac:dyDescent="0.25">
      <c r="B23" t="s">
        <v>79</v>
      </c>
      <c r="C23" t="s">
        <v>138</v>
      </c>
    </row>
    <row r="24" spans="2:12" x14ac:dyDescent="0.25">
      <c r="B24" t="s">
        <v>161</v>
      </c>
      <c r="C24">
        <f ca="1">IFERROR(INDEX(C6:L17,MATCH(C22,B6:B17,0),MATCH(C23,ბრენდები1,0)),"")</f>
        <v>3112</v>
      </c>
    </row>
    <row r="28" spans="2:12" x14ac:dyDescent="0.25">
      <c r="B28" t="s">
        <v>162</v>
      </c>
      <c r="C28">
        <f ca="1">SUMIF(C6:L6,"&gt;=2000",C6:L6)</f>
        <v>16580</v>
      </c>
    </row>
    <row r="29" spans="2:12" x14ac:dyDescent="0.25">
      <c r="B29" t="s">
        <v>163</v>
      </c>
      <c r="C29" t="str">
        <f ca="1">IFERROR(INDEX(B6:B17,MATCH(MAX(C6:C17),C6:C17,0),1),"შეცდომა!")</f>
        <v>დეკემბერი</v>
      </c>
    </row>
    <row r="30" spans="2:12" x14ac:dyDescent="0.25">
      <c r="B30" t="s">
        <v>164</v>
      </c>
      <c r="C30" t="s">
        <v>160</v>
      </c>
      <c r="D30" s="8" t="s">
        <v>87</v>
      </c>
      <c r="E30">
        <f ca="1">SUM(OFFSET(B5,MATCH(D30,B6:B17,0),1,1,COLUMNS(ბრენდები1)))</f>
        <v>29725</v>
      </c>
    </row>
    <row r="32" spans="2:12" x14ac:dyDescent="0.25">
      <c r="B32" t="s">
        <v>165</v>
      </c>
      <c r="C32">
        <f ca="1">IFERROR(COUNTIF(C6:L6,"&gt;=2000"),"ასეთი მონაცემები არ მოიძებნა")</f>
        <v>5</v>
      </c>
    </row>
    <row r="33" spans="2:3" x14ac:dyDescent="0.25">
      <c r="B33" t="s">
        <v>166</v>
      </c>
      <c r="C33">
        <f ca="1">IFERROR(SUM(OFFSET(B5,9,8,3,3)),"შეცდომა")</f>
        <v>24572</v>
      </c>
    </row>
  </sheetData>
  <dataValidations count="3">
    <dataValidation type="custom" allowBlank="1" showInputMessage="1" showErrorMessage="1" sqref="C5 E5:L5">
      <formula1>ISTEXT(C5)</formula1>
    </dataValidation>
    <dataValidation type="list" allowBlank="1" showInputMessage="1" showErrorMessage="1" sqref="C22 D30">
      <formula1>$B$6:$B$17</formula1>
    </dataValidation>
    <dataValidation type="list" allowBlank="1" showInputMessage="1" showErrorMessage="1" sqref="C23">
      <formula1>ბრენდები1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W31"/>
  <sheetViews>
    <sheetView topLeftCell="C31" workbookViewId="0">
      <selection activeCell="J34" sqref="J34"/>
    </sheetView>
  </sheetViews>
  <sheetFormatPr defaultRowHeight="15" x14ac:dyDescent="0.25"/>
  <cols>
    <col min="2" max="2" width="14.375" style="2" customWidth="1"/>
    <col min="3" max="6" width="13.5" customWidth="1"/>
    <col min="7" max="7" width="15.5" bestFit="1" customWidth="1"/>
    <col min="8" max="10" width="13.5" customWidth="1"/>
    <col min="11" max="11" width="18" bestFit="1" customWidth="1"/>
    <col min="12" max="12" width="13.5" customWidth="1"/>
    <col min="23" max="23" width="14.875" bestFit="1" customWidth="1"/>
  </cols>
  <sheetData>
    <row r="4" spans="2:23" ht="30" x14ac:dyDescent="0.25">
      <c r="B4" s="6" t="s">
        <v>76</v>
      </c>
      <c r="C4" t="s">
        <v>1</v>
      </c>
      <c r="D4" t="s">
        <v>2</v>
      </c>
      <c r="E4" t="s">
        <v>8</v>
      </c>
      <c r="F4" t="s">
        <v>3</v>
      </c>
      <c r="G4" t="s">
        <v>4</v>
      </c>
      <c r="H4" t="s">
        <v>5</v>
      </c>
      <c r="I4" s="1" t="s">
        <v>6</v>
      </c>
      <c r="J4" s="1" t="s">
        <v>182</v>
      </c>
      <c r="K4" t="s">
        <v>7</v>
      </c>
      <c r="L4" t="s">
        <v>181</v>
      </c>
      <c r="P4" s="28" t="s">
        <v>192</v>
      </c>
      <c r="Q4" s="28"/>
      <c r="R4" s="28"/>
      <c r="S4" s="28"/>
      <c r="T4" s="28"/>
      <c r="U4" s="28"/>
    </row>
    <row r="5" spans="2:23" x14ac:dyDescent="0.25">
      <c r="B5" s="2" t="s">
        <v>9</v>
      </c>
      <c r="C5" t="s">
        <v>25</v>
      </c>
      <c r="D5" t="s">
        <v>41</v>
      </c>
      <c r="E5" t="s">
        <v>57</v>
      </c>
      <c r="F5">
        <v>598456325</v>
      </c>
      <c r="G5" s="3" t="s">
        <v>60</v>
      </c>
      <c r="H5">
        <v>1500</v>
      </c>
      <c r="I5">
        <f ca="1">RANDBETWEEN(1,4)</f>
        <v>1</v>
      </c>
      <c r="J5">
        <f ca="1">IFERROR(HLOOKUP(I5,$Q$5:$U$6,2,1),"")</f>
        <v>0.05</v>
      </c>
      <c r="K5">
        <f ca="1">H5*J5+H5</f>
        <v>1575</v>
      </c>
      <c r="L5" t="s">
        <v>183</v>
      </c>
      <c r="P5" s="9" t="s">
        <v>193</v>
      </c>
      <c r="Q5" s="9">
        <v>0</v>
      </c>
      <c r="R5" s="9">
        <v>1</v>
      </c>
      <c r="S5" s="9">
        <v>2</v>
      </c>
      <c r="T5" s="9">
        <v>3</v>
      </c>
      <c r="U5" s="9">
        <v>4</v>
      </c>
    </row>
    <row r="6" spans="2:23" x14ac:dyDescent="0.25">
      <c r="B6" s="2" t="s">
        <v>10</v>
      </c>
      <c r="C6" t="s">
        <v>26</v>
      </c>
      <c r="D6" t="s">
        <v>42</v>
      </c>
      <c r="E6" t="s">
        <v>57</v>
      </c>
      <c r="F6">
        <v>591748968</v>
      </c>
      <c r="G6" s="3" t="s">
        <v>61</v>
      </c>
      <c r="H6">
        <v>1500</v>
      </c>
      <c r="I6">
        <f t="shared" ref="I6:I20" ca="1" si="0">RANDBETWEEN(1,4)</f>
        <v>2</v>
      </c>
      <c r="J6">
        <f t="shared" ref="J6:J22" ca="1" si="1">IFERROR(HLOOKUP(I6,$Q$5:$U$6,2,1),"")</f>
        <v>7.0000000000000007E-2</v>
      </c>
      <c r="K6">
        <f t="shared" ref="K6:K22" ca="1" si="2">H6*J6+H6</f>
        <v>1605</v>
      </c>
      <c r="L6" t="s">
        <v>184</v>
      </c>
      <c r="P6" s="9" t="s">
        <v>194</v>
      </c>
      <c r="Q6" s="29">
        <v>0</v>
      </c>
      <c r="R6" s="29">
        <v>0.05</v>
      </c>
      <c r="S6" s="29">
        <v>7.0000000000000007E-2</v>
      </c>
      <c r="T6" s="29">
        <v>0.12</v>
      </c>
      <c r="U6" s="29">
        <v>0.2</v>
      </c>
    </row>
    <row r="7" spans="2:23" x14ac:dyDescent="0.25">
      <c r="B7" s="2" t="s">
        <v>11</v>
      </c>
      <c r="C7" t="s">
        <v>27</v>
      </c>
      <c r="D7" t="s">
        <v>43</v>
      </c>
      <c r="E7" t="s">
        <v>58</v>
      </c>
      <c r="F7">
        <v>599868650</v>
      </c>
      <c r="G7" s="3" t="s">
        <v>62</v>
      </c>
      <c r="H7">
        <v>900</v>
      </c>
      <c r="I7">
        <f t="shared" ca="1" si="0"/>
        <v>1</v>
      </c>
      <c r="J7">
        <f t="shared" ca="1" si="1"/>
        <v>0.05</v>
      </c>
      <c r="K7">
        <f t="shared" ca="1" si="2"/>
        <v>945</v>
      </c>
      <c r="L7" t="s">
        <v>183</v>
      </c>
      <c r="Q7" s="27"/>
      <c r="W7" s="9" t="s">
        <v>112</v>
      </c>
    </row>
    <row r="8" spans="2:23" x14ac:dyDescent="0.25">
      <c r="B8" s="2" t="s">
        <v>12</v>
      </c>
      <c r="C8" t="s">
        <v>28</v>
      </c>
      <c r="D8" t="s">
        <v>45</v>
      </c>
      <c r="E8" t="s">
        <v>58</v>
      </c>
      <c r="F8">
        <v>598111315</v>
      </c>
      <c r="G8" s="3" t="s">
        <v>63</v>
      </c>
      <c r="H8">
        <v>900</v>
      </c>
      <c r="I8">
        <f t="shared" ca="1" si="0"/>
        <v>4</v>
      </c>
      <c r="J8">
        <f t="shared" ca="1" si="1"/>
        <v>0.2</v>
      </c>
      <c r="K8">
        <f t="shared" ca="1" si="2"/>
        <v>1080</v>
      </c>
      <c r="L8" t="s">
        <v>184</v>
      </c>
      <c r="Q8" s="27"/>
      <c r="W8" t="s">
        <v>57</v>
      </c>
    </row>
    <row r="9" spans="2:23" x14ac:dyDescent="0.25">
      <c r="B9" s="2" t="s">
        <v>13</v>
      </c>
      <c r="C9" t="s">
        <v>29</v>
      </c>
      <c r="D9" t="s">
        <v>46</v>
      </c>
      <c r="E9" t="s">
        <v>58</v>
      </c>
      <c r="F9">
        <v>577452535</v>
      </c>
      <c r="G9" s="3" t="s">
        <v>64</v>
      </c>
      <c r="H9">
        <v>900</v>
      </c>
      <c r="I9">
        <f t="shared" ca="1" si="0"/>
        <v>1</v>
      </c>
      <c r="J9">
        <f t="shared" ca="1" si="1"/>
        <v>0.05</v>
      </c>
      <c r="K9">
        <f t="shared" ca="1" si="2"/>
        <v>945</v>
      </c>
      <c r="L9" t="s">
        <v>185</v>
      </c>
      <c r="Q9" s="27"/>
      <c r="W9" t="s">
        <v>58</v>
      </c>
    </row>
    <row r="10" spans="2:23" x14ac:dyDescent="0.25">
      <c r="B10" s="2" t="s">
        <v>14</v>
      </c>
      <c r="C10" t="s">
        <v>30</v>
      </c>
      <c r="D10" t="s">
        <v>47</v>
      </c>
      <c r="E10" t="s">
        <v>58</v>
      </c>
      <c r="F10">
        <v>568859565</v>
      </c>
      <c r="G10" s="3" t="s">
        <v>65</v>
      </c>
      <c r="H10">
        <v>900</v>
      </c>
      <c r="I10">
        <f t="shared" ca="1" si="0"/>
        <v>3</v>
      </c>
      <c r="J10">
        <f t="shared" ca="1" si="1"/>
        <v>0.12</v>
      </c>
      <c r="K10">
        <f t="shared" ca="1" si="2"/>
        <v>1008</v>
      </c>
      <c r="L10" t="s">
        <v>186</v>
      </c>
      <c r="Q10" s="27"/>
      <c r="W10" t="s">
        <v>59</v>
      </c>
    </row>
    <row r="11" spans="2:23" x14ac:dyDescent="0.25">
      <c r="B11" s="2" t="s">
        <v>15</v>
      </c>
      <c r="C11" t="s">
        <v>31</v>
      </c>
      <c r="D11" t="s">
        <v>48</v>
      </c>
      <c r="E11" t="s">
        <v>58</v>
      </c>
      <c r="F11">
        <v>599121519</v>
      </c>
      <c r="G11" s="3" t="s">
        <v>66</v>
      </c>
      <c r="H11">
        <v>900</v>
      </c>
      <c r="I11">
        <f t="shared" ca="1" si="0"/>
        <v>4</v>
      </c>
      <c r="J11">
        <f t="shared" ca="1" si="1"/>
        <v>0.2</v>
      </c>
      <c r="K11">
        <f t="shared" ca="1" si="2"/>
        <v>1080</v>
      </c>
      <c r="L11" t="s">
        <v>187</v>
      </c>
      <c r="W11" t="s">
        <v>107</v>
      </c>
    </row>
    <row r="12" spans="2:23" x14ac:dyDescent="0.25">
      <c r="B12" s="2" t="s">
        <v>16</v>
      </c>
      <c r="C12" t="s">
        <v>32</v>
      </c>
      <c r="D12" t="s">
        <v>49</v>
      </c>
      <c r="E12" t="s">
        <v>59</v>
      </c>
      <c r="F12">
        <v>555463535</v>
      </c>
      <c r="G12" s="3" t="s">
        <v>67</v>
      </c>
      <c r="H12">
        <v>700</v>
      </c>
      <c r="I12">
        <f t="shared" ca="1" si="0"/>
        <v>2</v>
      </c>
      <c r="J12">
        <f t="shared" ca="1" si="1"/>
        <v>7.0000000000000007E-2</v>
      </c>
      <c r="K12">
        <f t="shared" ca="1" si="2"/>
        <v>749</v>
      </c>
      <c r="L12" t="s">
        <v>183</v>
      </c>
      <c r="W12" t="s">
        <v>113</v>
      </c>
    </row>
    <row r="13" spans="2:23" x14ac:dyDescent="0.25">
      <c r="B13" s="2" t="s">
        <v>17</v>
      </c>
      <c r="C13" t="s">
        <v>33</v>
      </c>
      <c r="D13" t="s">
        <v>51</v>
      </c>
      <c r="E13" t="s">
        <v>59</v>
      </c>
      <c r="F13">
        <v>577203035</v>
      </c>
      <c r="G13" s="3" t="s">
        <v>68</v>
      </c>
      <c r="H13">
        <v>700</v>
      </c>
      <c r="I13">
        <f t="shared" ca="1" si="0"/>
        <v>2</v>
      </c>
      <c r="J13">
        <f t="shared" ca="1" si="1"/>
        <v>7.0000000000000007E-2</v>
      </c>
      <c r="K13">
        <f t="shared" ca="1" si="2"/>
        <v>749</v>
      </c>
      <c r="L13" t="s">
        <v>184</v>
      </c>
    </row>
    <row r="14" spans="2:23" x14ac:dyDescent="0.25">
      <c r="B14" s="2" t="s">
        <v>18</v>
      </c>
      <c r="C14" t="s">
        <v>34</v>
      </c>
      <c r="D14" t="s">
        <v>52</v>
      </c>
      <c r="E14" t="s">
        <v>59</v>
      </c>
      <c r="F14">
        <v>599686263</v>
      </c>
      <c r="G14" s="3" t="s">
        <v>69</v>
      </c>
      <c r="H14">
        <v>650</v>
      </c>
      <c r="I14">
        <f t="shared" ca="1" si="0"/>
        <v>1</v>
      </c>
      <c r="J14">
        <f t="shared" ca="1" si="1"/>
        <v>0.05</v>
      </c>
      <c r="K14">
        <f t="shared" ca="1" si="2"/>
        <v>682.5</v>
      </c>
      <c r="L14" t="s">
        <v>185</v>
      </c>
    </row>
    <row r="15" spans="2:23" x14ac:dyDescent="0.25">
      <c r="B15" s="2" t="s">
        <v>19</v>
      </c>
      <c r="C15" t="s">
        <v>35</v>
      </c>
      <c r="D15" t="s">
        <v>53</v>
      </c>
      <c r="E15" t="s">
        <v>59</v>
      </c>
      <c r="F15">
        <v>593464515</v>
      </c>
      <c r="G15" s="3" t="s">
        <v>70</v>
      </c>
      <c r="H15">
        <v>500</v>
      </c>
      <c r="I15">
        <f t="shared" ca="1" si="0"/>
        <v>1</v>
      </c>
      <c r="J15">
        <f t="shared" ca="1" si="1"/>
        <v>0.05</v>
      </c>
      <c r="K15">
        <f t="shared" ca="1" si="2"/>
        <v>525</v>
      </c>
      <c r="L15" t="s">
        <v>186</v>
      </c>
    </row>
    <row r="16" spans="2:23" x14ac:dyDescent="0.25">
      <c r="B16" s="2" t="s">
        <v>20</v>
      </c>
      <c r="C16" t="s">
        <v>36</v>
      </c>
      <c r="D16" t="s">
        <v>54</v>
      </c>
      <c r="E16" t="s">
        <v>59</v>
      </c>
      <c r="F16">
        <v>599774572</v>
      </c>
      <c r="G16" s="3" t="s">
        <v>71</v>
      </c>
      <c r="H16">
        <v>600</v>
      </c>
      <c r="I16">
        <f t="shared" ca="1" si="0"/>
        <v>1</v>
      </c>
      <c r="J16">
        <f t="shared" ca="1" si="1"/>
        <v>0.05</v>
      </c>
      <c r="K16">
        <f t="shared" ca="1" si="2"/>
        <v>630</v>
      </c>
      <c r="L16" t="s">
        <v>187</v>
      </c>
    </row>
    <row r="17" spans="2:12" x14ac:dyDescent="0.25">
      <c r="B17" s="2" t="s">
        <v>21</v>
      </c>
      <c r="C17" t="s">
        <v>37</v>
      </c>
      <c r="D17" t="s">
        <v>55</v>
      </c>
      <c r="E17" t="s">
        <v>59</v>
      </c>
      <c r="F17">
        <v>598253648</v>
      </c>
      <c r="G17" s="3" t="s">
        <v>72</v>
      </c>
      <c r="H17">
        <v>700</v>
      </c>
      <c r="I17">
        <f t="shared" ca="1" si="0"/>
        <v>2</v>
      </c>
      <c r="J17">
        <f t="shared" ca="1" si="1"/>
        <v>7.0000000000000007E-2</v>
      </c>
      <c r="K17">
        <f t="shared" ca="1" si="2"/>
        <v>749</v>
      </c>
      <c r="L17" t="s">
        <v>184</v>
      </c>
    </row>
    <row r="18" spans="2:12" x14ac:dyDescent="0.25">
      <c r="B18" s="2" t="s">
        <v>22</v>
      </c>
      <c r="C18" t="s">
        <v>38</v>
      </c>
      <c r="D18" t="s">
        <v>56</v>
      </c>
      <c r="E18" t="s">
        <v>59</v>
      </c>
      <c r="F18">
        <v>555151617</v>
      </c>
      <c r="G18" s="3" t="s">
        <v>73</v>
      </c>
      <c r="H18">
        <v>750</v>
      </c>
      <c r="I18">
        <f t="shared" ca="1" si="0"/>
        <v>1</v>
      </c>
      <c r="J18">
        <f t="shared" ca="1" si="1"/>
        <v>0.05</v>
      </c>
      <c r="K18">
        <f t="shared" ca="1" si="2"/>
        <v>787.5</v>
      </c>
      <c r="L18" t="s">
        <v>187</v>
      </c>
    </row>
    <row r="19" spans="2:12" x14ac:dyDescent="0.25">
      <c r="B19" s="2" t="s">
        <v>23</v>
      </c>
      <c r="C19" t="s">
        <v>39</v>
      </c>
      <c r="D19" t="s">
        <v>44</v>
      </c>
      <c r="E19" t="s">
        <v>59</v>
      </c>
      <c r="F19">
        <v>558963620</v>
      </c>
      <c r="G19" s="3" t="s">
        <v>74</v>
      </c>
      <c r="H19">
        <v>650</v>
      </c>
      <c r="I19">
        <f t="shared" ca="1" si="0"/>
        <v>3</v>
      </c>
      <c r="J19">
        <f t="shared" ca="1" si="1"/>
        <v>0.12</v>
      </c>
      <c r="K19">
        <f t="shared" ca="1" si="2"/>
        <v>728</v>
      </c>
      <c r="L19" t="s">
        <v>183</v>
      </c>
    </row>
    <row r="20" spans="2:12" x14ac:dyDescent="0.25">
      <c r="B20" s="2" t="s">
        <v>24</v>
      </c>
      <c r="C20" t="s">
        <v>40</v>
      </c>
      <c r="D20" t="s">
        <v>50</v>
      </c>
      <c r="E20" t="s">
        <v>59</v>
      </c>
      <c r="F20">
        <v>577522013</v>
      </c>
      <c r="G20" s="3" t="s">
        <v>75</v>
      </c>
      <c r="H20">
        <v>550</v>
      </c>
      <c r="I20">
        <f t="shared" ca="1" si="0"/>
        <v>4</v>
      </c>
      <c r="J20">
        <f t="shared" ca="1" si="1"/>
        <v>0.2</v>
      </c>
      <c r="K20">
        <f t="shared" ca="1" si="2"/>
        <v>660</v>
      </c>
      <c r="L20" t="s">
        <v>186</v>
      </c>
    </row>
    <row r="21" spans="2:12" x14ac:dyDescent="0.25">
      <c r="B21" s="2" t="s">
        <v>108</v>
      </c>
      <c r="C21" t="s">
        <v>109</v>
      </c>
      <c r="D21" t="s">
        <v>110</v>
      </c>
      <c r="E21" t="s">
        <v>57</v>
      </c>
      <c r="F21">
        <v>598115483</v>
      </c>
      <c r="G21" s="3" t="s">
        <v>111</v>
      </c>
      <c r="H21">
        <v>1500</v>
      </c>
      <c r="I21">
        <v>10</v>
      </c>
      <c r="J21">
        <f t="shared" si="1"/>
        <v>0.2</v>
      </c>
      <c r="K21">
        <f t="shared" si="2"/>
        <v>1800</v>
      </c>
      <c r="L21" t="s">
        <v>187</v>
      </c>
    </row>
    <row r="22" spans="2:12" x14ac:dyDescent="0.25">
      <c r="B22" s="2" t="s">
        <v>168</v>
      </c>
      <c r="G22" s="3" t="s">
        <v>167</v>
      </c>
      <c r="J22">
        <f t="shared" si="1"/>
        <v>0</v>
      </c>
      <c r="K22">
        <f t="shared" si="2"/>
        <v>0</v>
      </c>
    </row>
    <row r="23" spans="2:12" x14ac:dyDescent="0.25">
      <c r="G23" s="3"/>
    </row>
    <row r="24" spans="2:12" x14ac:dyDescent="0.25">
      <c r="D24" s="2"/>
      <c r="G24" s="3"/>
    </row>
    <row r="25" spans="2:12" x14ac:dyDescent="0.25">
      <c r="G25" s="3"/>
    </row>
    <row r="26" spans="2:12" x14ac:dyDescent="0.25">
      <c r="G26" s="3"/>
    </row>
    <row r="27" spans="2:12" x14ac:dyDescent="0.25">
      <c r="G27" s="3"/>
    </row>
    <row r="31" spans="2:12" x14ac:dyDescent="0.25">
      <c r="K31" s="3"/>
    </row>
  </sheetData>
  <mergeCells count="1">
    <mergeCell ref="P4:U4"/>
  </mergeCells>
  <dataValidations count="8">
    <dataValidation type="custom" allowBlank="1" showInputMessage="1" showErrorMessage="1" sqref="B5:B1048576">
      <formula1>AND(ISNUMBER(VALUE(B5)),MATCH(B5,თანამშრომლის_კოდი,0)&gt;=ROW()-4)</formula1>
    </dataValidation>
    <dataValidation type="custom" allowBlank="1" showInputMessage="1" showErrorMessage="1" errorTitle="შეცდომა" error="ველი უნდა იყოს ტექსტური ტიპის_x000a_" sqref="C5:C1048576">
      <formula1>ISTEXT(C5)</formula1>
    </dataValidation>
    <dataValidation type="custom" allowBlank="1" showInputMessage="1" showErrorMessage="1" errorTitle="შეცდომა" error="მონაცემი უნდა იყოს ტექსტური ტიპის" sqref="D5:D1048576">
      <formula1>ISTEXT(D5)</formula1>
    </dataValidation>
    <dataValidation type="list" allowBlank="1" showInputMessage="1" showErrorMessage="1" sqref="E5:E1048576">
      <formula1>თანამდებობები</formula1>
    </dataValidation>
    <dataValidation type="custom" allowBlank="1" showInputMessage="1" showErrorMessage="1" sqref="F5:F1048576">
      <formula1>OR(AND(ISNUMBER(F5),LEN(F5)=9,LEFT(F5,1)="5"),AND(ISNUMBER(F5),LEN(F5)=7,LEFT(F5,1)="2"))</formula1>
    </dataValidation>
    <dataValidation type="custom" allowBlank="1" showInputMessage="1" showErrorMessage="1" sqref="K31">
      <formula1>FIND(".",K31,FIND("@",K31))&lt;=LEN(K31)</formula1>
    </dataValidation>
    <dataValidation type="list" allowBlank="1" showInputMessage="1" showErrorMessage="1" sqref="L5:L1048576">
      <formula1>"ორშაბათი,სამშაბათი,ოთხშაბათი,ხუთშაბათი,პარასკევი,შაბათი,კვირა"</formula1>
    </dataValidation>
    <dataValidation type="custom" allowBlank="1" showInputMessage="1" showErrorMessage="1" sqref="G5:G1048576">
      <formula1>AND(FIND(".",G5,FIND("@",G5))&lt;LEN(G5),COUNTIF(ელ_ფოსტა,G5)&lt;=1)</formula1>
    </dataValidation>
  </dataValidations>
  <hyperlinks>
    <hyperlink ref="G5" r:id="rId1"/>
    <hyperlink ref="G6" r:id="rId2"/>
    <hyperlink ref="G7" r:id="rId3"/>
    <hyperlink ref="G8" r:id="rId4"/>
    <hyperlink ref="G9" r:id="rId5"/>
    <hyperlink ref="G10" r:id="rId6"/>
    <hyperlink ref="G11" r:id="rId7"/>
    <hyperlink ref="G12" r:id="rId8"/>
    <hyperlink ref="G13" r:id="rId9"/>
    <hyperlink ref="G14" r:id="rId10"/>
    <hyperlink ref="G15" r:id="rId11"/>
    <hyperlink ref="G16" r:id="rId12"/>
    <hyperlink ref="G17" r:id="rId13"/>
    <hyperlink ref="G18" r:id="rId14"/>
    <hyperlink ref="G19" r:id="rId15"/>
    <hyperlink ref="G20" r:id="rId16"/>
    <hyperlink ref="G21" r:id="rId17"/>
    <hyperlink ref="G22" r:id="rId18"/>
  </hyperlinks>
  <pageMargins left="0.7" right="0.7" top="0.75" bottom="0.75" header="0.3" footer="0.3"/>
  <drawing r:id="rId1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"/>
  <sheetViews>
    <sheetView topLeftCell="A13" workbookViewId="0"/>
  </sheetViews>
  <sheetFormatPr defaultRowHeight="15" x14ac:dyDescent="0.25"/>
  <cols>
    <col min="2" max="2" width="20" style="2" bestFit="1" customWidth="1"/>
    <col min="3" max="6" width="15.75" customWidth="1"/>
  </cols>
  <sheetData>
    <row r="1" spans="2:6" x14ac:dyDescent="0.25">
      <c r="B1"/>
    </row>
    <row r="2" spans="2:6" x14ac:dyDescent="0.25">
      <c r="B2"/>
    </row>
    <row r="3" spans="2:6" x14ac:dyDescent="0.25">
      <c r="B3"/>
    </row>
    <row r="4" spans="2:6" x14ac:dyDescent="0.25">
      <c r="B4" s="9" t="s">
        <v>169</v>
      </c>
      <c r="C4" s="9" t="s">
        <v>2</v>
      </c>
      <c r="D4" s="9" t="s">
        <v>1</v>
      </c>
      <c r="E4" s="9" t="s">
        <v>3</v>
      </c>
      <c r="F4" s="9" t="s">
        <v>4</v>
      </c>
    </row>
    <row r="5" spans="2:6" x14ac:dyDescent="0.25">
      <c r="B5" s="2" t="s">
        <v>9</v>
      </c>
      <c r="C5" t="s">
        <v>51</v>
      </c>
      <c r="D5" t="s">
        <v>38</v>
      </c>
      <c r="E5">
        <v>2353535</v>
      </c>
      <c r="F5" s="3" t="s">
        <v>172</v>
      </c>
    </row>
    <row r="6" spans="2:6" x14ac:dyDescent="0.25">
      <c r="B6" s="2" t="s">
        <v>10</v>
      </c>
      <c r="C6" t="s">
        <v>170</v>
      </c>
      <c r="D6" t="s">
        <v>28</v>
      </c>
      <c r="E6">
        <v>599868686</v>
      </c>
      <c r="F6" s="3" t="s">
        <v>173</v>
      </c>
    </row>
    <row r="7" spans="2:6" x14ac:dyDescent="0.25">
      <c r="B7" s="2" t="s">
        <v>11</v>
      </c>
      <c r="C7" t="s">
        <v>171</v>
      </c>
      <c r="D7" t="s">
        <v>34</v>
      </c>
      <c r="E7">
        <v>555641515</v>
      </c>
      <c r="F7" s="3" t="s">
        <v>174</v>
      </c>
    </row>
  </sheetData>
  <dataValidations count="3">
    <dataValidation type="custom" allowBlank="1" showInputMessage="1" showErrorMessage="1" sqref="C5:C1048576 D5:D1048576">
      <formula1>ISTEXT(C5)</formula1>
    </dataValidation>
    <dataValidation type="custom" allowBlank="1" showInputMessage="1" showErrorMessage="1" sqref="E5:E1048576">
      <formula1>OR(AND(ISNUMBER(E5),LEN(E5)=9,LEFT(E5,1)="5"),AND(ISNUMBER(E5),LEN(E5)=7,LEFT(E5,1)="2"))</formula1>
    </dataValidation>
    <dataValidation type="custom" allowBlank="1" showInputMessage="1" showErrorMessage="1" sqref="F5:F1048576">
      <formula1>AND(FIND(".",F5,FIND("@",F5))&lt;LEN(F5),COUNTIF(მომხმარებლის_ელ_ფოსტა,F5)&lt;=1)</formula1>
    </dataValidation>
  </dataValidations>
  <hyperlinks>
    <hyperlink ref="F5" r:id="rId1"/>
    <hyperlink ref="F6" r:id="rId2"/>
    <hyperlink ref="F7" r:id="rId3"/>
  </hyperlinks>
  <pageMargins left="0.7" right="0.7" top="0.75" bottom="0.75" header="0.3" footer="0.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3"/>
  <sheetViews>
    <sheetView topLeftCell="I1" zoomScale="85" zoomScaleNormal="85" workbookViewId="0"/>
  </sheetViews>
  <sheetFormatPr defaultRowHeight="15" x14ac:dyDescent="0.25"/>
  <cols>
    <col min="1" max="1" width="9" style="16"/>
    <col min="2" max="2" width="12.625" style="17" bestFit="1" customWidth="1"/>
    <col min="3" max="3" width="26.875" style="16" bestFit="1" customWidth="1"/>
    <col min="4" max="4" width="17.75" style="16" bestFit="1" customWidth="1"/>
    <col min="5" max="5" width="10.125" style="16" bestFit="1" customWidth="1"/>
    <col min="6" max="6" width="9" style="16"/>
    <col min="7" max="7" width="11" style="16" bestFit="1" customWidth="1"/>
    <col min="8" max="8" width="22.625" style="16" bestFit="1" customWidth="1"/>
    <col min="9" max="9" width="20" style="16" bestFit="1" customWidth="1"/>
    <col min="10" max="10" width="19.5" style="16" customWidth="1"/>
    <col min="11" max="11" width="16.125" style="16" bestFit="1" customWidth="1"/>
    <col min="12" max="16384" width="9" style="16"/>
  </cols>
  <sheetData>
    <row r="1" spans="2:10" x14ac:dyDescent="0.25">
      <c r="B1" s="16"/>
    </row>
    <row r="2" spans="2:10" x14ac:dyDescent="0.25">
      <c r="B2" s="16"/>
    </row>
    <row r="3" spans="2:10" x14ac:dyDescent="0.25">
      <c r="B3" s="16"/>
    </row>
    <row r="4" spans="2:10" ht="30" x14ac:dyDescent="0.25">
      <c r="B4" s="15" t="s">
        <v>76</v>
      </c>
      <c r="C4" s="18" t="s">
        <v>13</v>
      </c>
      <c r="D4"/>
      <c r="E4"/>
      <c r="F4"/>
      <c r="G4"/>
      <c r="H4"/>
      <c r="I4" s="9" t="s">
        <v>169</v>
      </c>
      <c r="J4" s="18" t="s">
        <v>9</v>
      </c>
    </row>
    <row r="5" spans="2:10" x14ac:dyDescent="0.25">
      <c r="B5" s="9" t="s">
        <v>1</v>
      </c>
      <c r="C5" t="str">
        <f ca="1">IFERROR(VLOOKUP($C$4,თანამშრომლები,MATCH($B5,$B$4:$B$9,0),0),"")</f>
        <v>ლაშა</v>
      </c>
      <c r="D5"/>
      <c r="E5"/>
      <c r="F5"/>
      <c r="G5"/>
      <c r="H5"/>
      <c r="I5" s="9" t="s">
        <v>2</v>
      </c>
      <c r="J5" t="str">
        <f ca="1">IFERROR(VLOOKUP($J$4,მომხმარებლები,MATCH($I5,$I$4:$I$8,0),0),"")</f>
        <v>ბარათაშვილი</v>
      </c>
    </row>
    <row r="6" spans="2:10" x14ac:dyDescent="0.25">
      <c r="B6" s="9" t="s">
        <v>2</v>
      </c>
      <c r="C6" t="str">
        <f ca="1">IFERROR(VLOOKUP($C$4,თანამშრომლები,MATCH($B6,$B$4:$B$9,0),0),"")</f>
        <v>ჭინჭარაძე</v>
      </c>
      <c r="D6"/>
      <c r="E6"/>
      <c r="F6"/>
      <c r="G6"/>
      <c r="H6"/>
      <c r="I6" s="9" t="s">
        <v>1</v>
      </c>
      <c r="J6" t="str">
        <f ca="1">IFERROR(VLOOKUP($J$4,მომხმარებლები,MATCH($I6,$I$4:$I$8,0),0),"")</f>
        <v>ნიკა</v>
      </c>
    </row>
    <row r="7" spans="2:10" x14ac:dyDescent="0.25">
      <c r="B7" s="9" t="s">
        <v>8</v>
      </c>
      <c r="C7" t="str">
        <f ca="1">IFERROR(VLOOKUP($C$4,თანამშრომლები,MATCH($B7,$B$4:$B$9,0),0),"")</f>
        <v>მოლარე</v>
      </c>
      <c r="D7"/>
      <c r="E7"/>
      <c r="F7"/>
      <c r="G7"/>
      <c r="H7"/>
      <c r="I7" s="9" t="s">
        <v>3</v>
      </c>
      <c r="J7">
        <f ca="1">IFERROR(VLOOKUP($J$4,მომხმარებლები,MATCH($I7,$I$4:$I$8,0),0),"")</f>
        <v>2353535</v>
      </c>
    </row>
    <row r="8" spans="2:10" x14ac:dyDescent="0.25">
      <c r="B8" s="9" t="s">
        <v>3</v>
      </c>
      <c r="C8">
        <f ca="1">IFERROR(VLOOKUP($C$4,თანამშრომლები,MATCH($B8,$B$4:$B$9,0),0),"")</f>
        <v>577452535</v>
      </c>
      <c r="D8"/>
      <c r="E8"/>
      <c r="F8"/>
      <c r="G8"/>
      <c r="H8"/>
      <c r="I8" s="9" t="s">
        <v>4</v>
      </c>
      <c r="J8" t="str">
        <f ca="1">IFERROR(VLOOKUP($J$4,მომხმარებლები,MATCH($I8,$I$4:$I$8,0),0),"")</f>
        <v>nika12@gmail.com</v>
      </c>
    </row>
    <row r="9" spans="2:10" x14ac:dyDescent="0.25">
      <c r="B9" s="9" t="s">
        <v>4</v>
      </c>
      <c r="C9" t="str">
        <f ca="1">IFERROR(VLOOKUP($C$4,თანამშრომლები,MATCH($B9,$B$4:$B$9,0),0),"")</f>
        <v>lasha@yahoo.com</v>
      </c>
      <c r="D9"/>
      <c r="E9"/>
      <c r="F9"/>
      <c r="G9"/>
      <c r="H9"/>
      <c r="I9"/>
      <c r="J9"/>
    </row>
    <row r="10" spans="2:10" x14ac:dyDescent="0.25">
      <c r="B10" s="2"/>
      <c r="C10"/>
      <c r="D10"/>
      <c r="E10"/>
      <c r="F10"/>
      <c r="G10"/>
      <c r="H10"/>
      <c r="I10"/>
      <c r="J10"/>
    </row>
    <row r="11" spans="2:10" x14ac:dyDescent="0.25">
      <c r="B11" s="2"/>
      <c r="C11"/>
      <c r="D11"/>
      <c r="E11"/>
      <c r="F11"/>
      <c r="G11"/>
      <c r="H11"/>
      <c r="I11"/>
      <c r="J11"/>
    </row>
    <row r="12" spans="2:10" x14ac:dyDescent="0.25">
      <c r="B12" s="2"/>
      <c r="C12"/>
      <c r="D12"/>
      <c r="E12"/>
      <c r="F12"/>
      <c r="G12"/>
      <c r="H12"/>
      <c r="I12"/>
      <c r="J12"/>
    </row>
    <row r="13" spans="2:10" x14ac:dyDescent="0.25">
      <c r="B13" s="2"/>
      <c r="C13"/>
      <c r="D13"/>
      <c r="E13"/>
      <c r="F13"/>
      <c r="G13"/>
      <c r="H13"/>
      <c r="I13"/>
      <c r="J13"/>
    </row>
    <row r="14" spans="2:10" x14ac:dyDescent="0.25">
      <c r="B14" s="2"/>
      <c r="C14"/>
      <c r="D14"/>
      <c r="E14"/>
      <c r="F14"/>
      <c r="G14"/>
      <c r="H14"/>
      <c r="I14"/>
      <c r="J14"/>
    </row>
    <row r="15" spans="2:10" x14ac:dyDescent="0.25">
      <c r="B15" s="2"/>
      <c r="C15"/>
      <c r="D15"/>
      <c r="E15"/>
      <c r="F15"/>
      <c r="G15"/>
      <c r="H15"/>
      <c r="I15"/>
      <c r="J15"/>
    </row>
    <row r="16" spans="2:10" x14ac:dyDescent="0.25">
      <c r="B16" s="2"/>
      <c r="C16"/>
      <c r="D16"/>
      <c r="E16"/>
      <c r="F16"/>
      <c r="G16"/>
      <c r="H16"/>
      <c r="I16"/>
      <c r="J16"/>
    </row>
    <row r="17" spans="2:10" x14ac:dyDescent="0.25">
      <c r="B17" s="2"/>
      <c r="C17"/>
      <c r="D17"/>
      <c r="E17"/>
      <c r="F17"/>
      <c r="G17"/>
      <c r="H17"/>
      <c r="I17"/>
      <c r="J17"/>
    </row>
    <row r="18" spans="2:10" ht="30" x14ac:dyDescent="0.25">
      <c r="B18" s="4" t="s">
        <v>0</v>
      </c>
      <c r="C18" s="4" t="s">
        <v>78</v>
      </c>
      <c r="D18" s="5" t="s">
        <v>80</v>
      </c>
      <c r="E18" s="4" t="s">
        <v>79</v>
      </c>
      <c r="F18" s="4" t="s">
        <v>81</v>
      </c>
      <c r="G18" s="4" t="s">
        <v>82</v>
      </c>
      <c r="H18" s="4" t="s">
        <v>96</v>
      </c>
      <c r="I18" s="12" t="s">
        <v>159</v>
      </c>
      <c r="J18"/>
    </row>
    <row r="19" spans="2:10" x14ac:dyDescent="0.25">
      <c r="B19" s="19" t="s">
        <v>129</v>
      </c>
      <c r="C19" s="10" t="str">
        <f t="shared" ref="C19:C30" ca="1" si="0">IFERROR(VLOOKUP($B19,პროდუქტები,2,0),"")</f>
        <v>ტელეფონები</v>
      </c>
      <c r="D19" s="10" t="str">
        <f t="shared" ref="D19:D30" ca="1" si="1">IFERROR(VLOOKUP($B19,პროდუქტები,3,0),"")</f>
        <v>სახლის ტელეფონი</v>
      </c>
      <c r="E19" s="10" t="str">
        <f t="shared" ref="E19:E30" ca="1" si="2">IFERROR(VLOOKUP($B19,პროდუქტები,4,0),"")</f>
        <v>Topcom</v>
      </c>
      <c r="F19" s="10">
        <f t="shared" ref="F19:F30" ca="1" si="3">IFERROR(VLOOKUP($B19,პროდუქტები,6,0),"")</f>
        <v>50</v>
      </c>
      <c r="G19" s="20">
        <v>1</v>
      </c>
      <c r="H19" s="11">
        <f ca="1">IF(ISBLANK(B19),"",NOW())</f>
        <v>41999.102523611109</v>
      </c>
      <c r="I19" s="10">
        <f t="shared" ref="I19:I30" ca="1" si="4">IFERROR(F19*G19,"")</f>
        <v>50</v>
      </c>
      <c r="J19"/>
    </row>
    <row r="20" spans="2:10" x14ac:dyDescent="0.25">
      <c r="B20" s="19" t="s">
        <v>128</v>
      </c>
      <c r="C20" s="10" t="str">
        <f t="shared" ca="1" si="0"/>
        <v>ტელეფონები</v>
      </c>
      <c r="D20" s="10" t="str">
        <f t="shared" ca="1" si="1"/>
        <v>სახლის ტელეფონი</v>
      </c>
      <c r="E20" s="10" t="str">
        <f t="shared" ca="1" si="2"/>
        <v>Panasonic</v>
      </c>
      <c r="F20" s="10">
        <f t="shared" ca="1" si="3"/>
        <v>35</v>
      </c>
      <c r="G20" s="20">
        <v>1</v>
      </c>
      <c r="H20" s="11">
        <f t="shared" ref="H20:H30" ca="1" si="5">IF(ISBLANK(B20),"",NOW())</f>
        <v>41999.102523611109</v>
      </c>
      <c r="I20" s="10">
        <f t="shared" ca="1" si="4"/>
        <v>35</v>
      </c>
      <c r="J20"/>
    </row>
    <row r="21" spans="2:10" x14ac:dyDescent="0.25">
      <c r="B21" s="19"/>
      <c r="C21" s="10" t="str">
        <f t="shared" ca="1" si="0"/>
        <v/>
      </c>
      <c r="D21" s="10" t="str">
        <f t="shared" ca="1" si="1"/>
        <v/>
      </c>
      <c r="E21" s="10" t="str">
        <f t="shared" ca="1" si="2"/>
        <v/>
      </c>
      <c r="F21" s="10" t="str">
        <f t="shared" ca="1" si="3"/>
        <v/>
      </c>
      <c r="G21" s="20"/>
      <c r="H21" s="11" t="str">
        <f t="shared" ca="1" si="5"/>
        <v/>
      </c>
      <c r="I21" s="10" t="str">
        <f t="shared" ca="1" si="4"/>
        <v/>
      </c>
      <c r="J21"/>
    </row>
    <row r="22" spans="2:10" x14ac:dyDescent="0.25">
      <c r="B22" s="19"/>
      <c r="C22" s="10" t="str">
        <f t="shared" ca="1" si="0"/>
        <v/>
      </c>
      <c r="D22" s="10" t="str">
        <f t="shared" ca="1" si="1"/>
        <v/>
      </c>
      <c r="E22" s="10" t="str">
        <f t="shared" ca="1" si="2"/>
        <v/>
      </c>
      <c r="F22" s="10" t="str">
        <f t="shared" ca="1" si="3"/>
        <v/>
      </c>
      <c r="G22" s="20"/>
      <c r="H22" s="11" t="str">
        <f t="shared" ca="1" si="5"/>
        <v/>
      </c>
      <c r="I22" s="10" t="str">
        <f t="shared" ca="1" si="4"/>
        <v/>
      </c>
      <c r="J22"/>
    </row>
    <row r="23" spans="2:10" x14ac:dyDescent="0.25">
      <c r="B23" s="19"/>
      <c r="C23" s="10" t="str">
        <f t="shared" ca="1" si="0"/>
        <v/>
      </c>
      <c r="D23" s="10" t="str">
        <f t="shared" ca="1" si="1"/>
        <v/>
      </c>
      <c r="E23" s="10" t="str">
        <f t="shared" ca="1" si="2"/>
        <v/>
      </c>
      <c r="F23" s="10" t="str">
        <f t="shared" ca="1" si="3"/>
        <v/>
      </c>
      <c r="G23" s="20"/>
      <c r="H23" s="11" t="str">
        <f t="shared" ca="1" si="5"/>
        <v/>
      </c>
      <c r="I23" s="10" t="str">
        <f t="shared" ca="1" si="4"/>
        <v/>
      </c>
      <c r="J23"/>
    </row>
    <row r="24" spans="2:10" x14ac:dyDescent="0.25">
      <c r="B24" s="19"/>
      <c r="C24" s="10" t="str">
        <f t="shared" ca="1" si="0"/>
        <v/>
      </c>
      <c r="D24" s="10" t="str">
        <f t="shared" ca="1" si="1"/>
        <v/>
      </c>
      <c r="E24" s="10" t="str">
        <f t="shared" ca="1" si="2"/>
        <v/>
      </c>
      <c r="F24" s="10" t="str">
        <f t="shared" ca="1" si="3"/>
        <v/>
      </c>
      <c r="G24" s="20"/>
      <c r="H24" s="11" t="str">
        <f t="shared" ca="1" si="5"/>
        <v/>
      </c>
      <c r="I24" s="10" t="str">
        <f t="shared" ca="1" si="4"/>
        <v/>
      </c>
      <c r="J24"/>
    </row>
    <row r="25" spans="2:10" x14ac:dyDescent="0.25">
      <c r="B25" s="19"/>
      <c r="C25" s="10" t="str">
        <f t="shared" ca="1" si="0"/>
        <v/>
      </c>
      <c r="D25" s="10" t="str">
        <f t="shared" ca="1" si="1"/>
        <v/>
      </c>
      <c r="E25" s="10" t="str">
        <f t="shared" ca="1" si="2"/>
        <v/>
      </c>
      <c r="F25" s="10" t="str">
        <f t="shared" ca="1" si="3"/>
        <v/>
      </c>
      <c r="G25" s="20"/>
      <c r="H25" s="11" t="str">
        <f t="shared" ca="1" si="5"/>
        <v/>
      </c>
      <c r="I25" s="10" t="str">
        <f t="shared" ca="1" si="4"/>
        <v/>
      </c>
      <c r="J25"/>
    </row>
    <row r="26" spans="2:10" x14ac:dyDescent="0.25">
      <c r="B26" s="19"/>
      <c r="C26" s="10" t="str">
        <f t="shared" ca="1" si="0"/>
        <v/>
      </c>
      <c r="D26" s="10" t="str">
        <f t="shared" ca="1" si="1"/>
        <v/>
      </c>
      <c r="E26" s="10" t="str">
        <f t="shared" ca="1" si="2"/>
        <v/>
      </c>
      <c r="F26" s="10" t="str">
        <f t="shared" ca="1" si="3"/>
        <v/>
      </c>
      <c r="G26" s="20"/>
      <c r="H26" s="11" t="str">
        <f t="shared" ca="1" si="5"/>
        <v/>
      </c>
      <c r="I26" s="10" t="str">
        <f t="shared" ca="1" si="4"/>
        <v/>
      </c>
      <c r="J26"/>
    </row>
    <row r="27" spans="2:10" x14ac:dyDescent="0.25">
      <c r="B27" s="19"/>
      <c r="C27" s="10" t="str">
        <f t="shared" ca="1" si="0"/>
        <v/>
      </c>
      <c r="D27" s="10" t="str">
        <f t="shared" ca="1" si="1"/>
        <v/>
      </c>
      <c r="E27" s="10" t="str">
        <f t="shared" ca="1" si="2"/>
        <v/>
      </c>
      <c r="F27" s="10" t="str">
        <f t="shared" ca="1" si="3"/>
        <v/>
      </c>
      <c r="G27" s="20"/>
      <c r="H27" s="11" t="str">
        <f t="shared" ca="1" si="5"/>
        <v/>
      </c>
      <c r="I27" s="10" t="str">
        <f t="shared" ca="1" si="4"/>
        <v/>
      </c>
      <c r="J27"/>
    </row>
    <row r="28" spans="2:10" x14ac:dyDescent="0.25">
      <c r="B28" s="19"/>
      <c r="C28" s="10" t="str">
        <f t="shared" ca="1" si="0"/>
        <v/>
      </c>
      <c r="D28" s="10" t="str">
        <f t="shared" ca="1" si="1"/>
        <v/>
      </c>
      <c r="E28" s="10" t="str">
        <f t="shared" ca="1" si="2"/>
        <v/>
      </c>
      <c r="F28" s="10" t="str">
        <f t="shared" ca="1" si="3"/>
        <v/>
      </c>
      <c r="G28" s="20"/>
      <c r="H28" s="11" t="str">
        <f t="shared" ca="1" si="5"/>
        <v/>
      </c>
      <c r="I28" s="10" t="str">
        <f t="shared" ca="1" si="4"/>
        <v/>
      </c>
      <c r="J28"/>
    </row>
    <row r="29" spans="2:10" x14ac:dyDescent="0.25">
      <c r="B29" s="19"/>
      <c r="C29" s="10" t="str">
        <f t="shared" ca="1" si="0"/>
        <v/>
      </c>
      <c r="D29" s="10" t="str">
        <f t="shared" ca="1" si="1"/>
        <v/>
      </c>
      <c r="E29" s="10" t="str">
        <f t="shared" ca="1" si="2"/>
        <v/>
      </c>
      <c r="F29" s="10" t="str">
        <f t="shared" ca="1" si="3"/>
        <v/>
      </c>
      <c r="G29" s="20"/>
      <c r="H29" s="11" t="str">
        <f t="shared" ca="1" si="5"/>
        <v/>
      </c>
      <c r="I29" s="10" t="str">
        <f t="shared" ca="1" si="4"/>
        <v/>
      </c>
      <c r="J29"/>
    </row>
    <row r="30" spans="2:10" x14ac:dyDescent="0.25">
      <c r="B30" s="19"/>
      <c r="C30" s="10" t="str">
        <f t="shared" ca="1" si="0"/>
        <v/>
      </c>
      <c r="D30" s="10" t="str">
        <f t="shared" ca="1" si="1"/>
        <v/>
      </c>
      <c r="E30" s="10" t="str">
        <f t="shared" ca="1" si="2"/>
        <v/>
      </c>
      <c r="F30" s="10" t="str">
        <f t="shared" ca="1" si="3"/>
        <v/>
      </c>
      <c r="G30" s="20"/>
      <c r="H30" s="11" t="str">
        <f t="shared" ca="1" si="5"/>
        <v/>
      </c>
      <c r="I30" s="10" t="str">
        <f t="shared" ca="1" si="4"/>
        <v/>
      </c>
      <c r="J30"/>
    </row>
    <row r="31" spans="2:10" x14ac:dyDescent="0.25">
      <c r="B31" s="2"/>
      <c r="C31"/>
      <c r="D31"/>
      <c r="E31"/>
      <c r="F31"/>
      <c r="G31"/>
      <c r="H31" t="s">
        <v>176</v>
      </c>
      <c r="I31" s="13">
        <f ca="1">SUM(I19:I30)</f>
        <v>85</v>
      </c>
      <c r="J31"/>
    </row>
    <row r="32" spans="2:10" x14ac:dyDescent="0.25">
      <c r="B32" s="2"/>
      <c r="C32"/>
      <c r="D32"/>
      <c r="E32"/>
      <c r="F32"/>
      <c r="G32"/>
      <c r="H32" t="s">
        <v>175</v>
      </c>
      <c r="I32" s="13">
        <f ca="1">IF(I31&gt;=100,0,20)</f>
        <v>20</v>
      </c>
      <c r="J32"/>
    </row>
    <row r="33" spans="2:10" x14ac:dyDescent="0.25">
      <c r="B33" s="2"/>
      <c r="C33"/>
      <c r="D33"/>
      <c r="E33"/>
      <c r="F33"/>
      <c r="G33"/>
      <c r="H33" t="s">
        <v>177</v>
      </c>
      <c r="I33" s="14">
        <f ca="1">SUM(I31:I32)</f>
        <v>105</v>
      </c>
      <c r="J33"/>
    </row>
  </sheetData>
  <sheetProtection algorithmName="SHA-512" hashValue="y9Y++Ffado0vYG7LqS2EL9kK6tkkeTUPq918Brw5nPNSDjqryIF2cGSoESQp6Ty3jYgIRF8xGWB+YKBbMycQmg==" saltValue="yyXr7AByus2C3Akxqh0VZw==" spinCount="100000" sheet="1" objects="1" scenarios="1"/>
  <dataValidations count="4">
    <dataValidation type="list" allowBlank="1" showInputMessage="1" showErrorMessage="1" sqref="B19:B30">
      <formula1>პროდუქტის_კოდი</formula1>
    </dataValidation>
    <dataValidation type="list" allowBlank="1" showInputMessage="1" showErrorMessage="1" sqref="C4">
      <formula1>თანამშრომლის_კოდი</formula1>
    </dataValidation>
    <dataValidation type="list" allowBlank="1" showInputMessage="1" showErrorMessage="1" sqref="J4">
      <formula1>მომხმარებლის_კოდი</formula1>
    </dataValidation>
    <dataValidation type="custom" allowBlank="1" showInputMessage="1" showErrorMessage="1" sqref="G19 G21:G30">
      <formula1>ISNUMBER(G19)</formula1>
    </dataValidation>
  </dataValidations>
  <pageMargins left="0.7" right="0.7" top="0.75" bottom="0.75" header="0.3" footer="0.3"/>
  <pageSetup paperSize="9" scale="59" fitToHeight="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topLeftCell="D10" workbookViewId="0"/>
  </sheetViews>
  <sheetFormatPr defaultRowHeight="15" x14ac:dyDescent="0.25"/>
  <cols>
    <col min="2" max="2" width="15.25" style="2" customWidth="1"/>
    <col min="3" max="3" width="23.5" bestFit="1" customWidth="1"/>
    <col min="4" max="4" width="24.125" bestFit="1" customWidth="1"/>
    <col min="5" max="8" width="15.25" customWidth="1"/>
    <col min="13" max="13" width="24" bestFit="1" customWidth="1"/>
    <col min="14" max="14" width="14.5" bestFit="1" customWidth="1"/>
  </cols>
  <sheetData>
    <row r="1" spans="2:14" x14ac:dyDescent="0.25">
      <c r="B1"/>
    </row>
    <row r="2" spans="2:14" x14ac:dyDescent="0.25">
      <c r="B2"/>
    </row>
    <row r="3" spans="2:14" x14ac:dyDescent="0.25">
      <c r="B3"/>
    </row>
    <row r="4" spans="2:14" ht="30" x14ac:dyDescent="0.25">
      <c r="B4" s="21" t="s">
        <v>77</v>
      </c>
      <c r="C4" s="9" t="s">
        <v>78</v>
      </c>
      <c r="D4" s="21" t="s">
        <v>80</v>
      </c>
      <c r="E4" s="9" t="s">
        <v>79</v>
      </c>
      <c r="F4" s="21" t="s">
        <v>159</v>
      </c>
      <c r="G4" s="9" t="s">
        <v>81</v>
      </c>
      <c r="H4" s="9" t="s">
        <v>82</v>
      </c>
      <c r="I4" s="9" t="s">
        <v>161</v>
      </c>
      <c r="M4" t="s">
        <v>114</v>
      </c>
      <c r="N4" t="s">
        <v>158</v>
      </c>
    </row>
    <row r="5" spans="2:14" x14ac:dyDescent="0.25">
      <c r="B5" s="2" t="s">
        <v>124</v>
      </c>
      <c r="C5" t="s">
        <v>117</v>
      </c>
      <c r="D5" t="s">
        <v>140</v>
      </c>
      <c r="E5" t="s">
        <v>141</v>
      </c>
      <c r="F5">
        <v>200</v>
      </c>
      <c r="G5">
        <v>700</v>
      </c>
      <c r="H5">
        <v>15</v>
      </c>
      <c r="I5">
        <f>G5*H5-F5*H5</f>
        <v>7500</v>
      </c>
      <c r="M5" t="s">
        <v>115</v>
      </c>
      <c r="N5" t="s">
        <v>136</v>
      </c>
    </row>
    <row r="6" spans="2:14" x14ac:dyDescent="0.25">
      <c r="B6" s="2" t="s">
        <v>126</v>
      </c>
      <c r="C6" t="s">
        <v>117</v>
      </c>
      <c r="D6" t="s">
        <v>143</v>
      </c>
      <c r="E6" t="s">
        <v>136</v>
      </c>
      <c r="F6">
        <v>150</v>
      </c>
      <c r="G6">
        <v>200</v>
      </c>
      <c r="H6">
        <v>20</v>
      </c>
      <c r="I6">
        <f t="shared" ref="I6:I19" si="0">G6*H6-F6*H6</f>
        <v>1000</v>
      </c>
      <c r="M6" t="s">
        <v>116</v>
      </c>
      <c r="N6" s="7" t="s">
        <v>138</v>
      </c>
    </row>
    <row r="7" spans="2:14" x14ac:dyDescent="0.25">
      <c r="B7" s="2" t="s">
        <v>125</v>
      </c>
      <c r="C7" t="s">
        <v>117</v>
      </c>
      <c r="D7" t="s">
        <v>142</v>
      </c>
      <c r="E7" t="s">
        <v>136</v>
      </c>
      <c r="F7">
        <v>110</v>
      </c>
      <c r="G7">
        <v>450</v>
      </c>
      <c r="H7">
        <v>12</v>
      </c>
      <c r="I7">
        <f t="shared" si="0"/>
        <v>4080</v>
      </c>
      <c r="M7" t="s">
        <v>117</v>
      </c>
      <c r="N7" t="s">
        <v>155</v>
      </c>
    </row>
    <row r="8" spans="2:14" x14ac:dyDescent="0.25">
      <c r="B8" s="2" t="s">
        <v>127</v>
      </c>
      <c r="C8" t="s">
        <v>117</v>
      </c>
      <c r="D8" t="s">
        <v>144</v>
      </c>
      <c r="E8" t="s">
        <v>145</v>
      </c>
      <c r="F8">
        <v>15</v>
      </c>
      <c r="G8">
        <v>350</v>
      </c>
      <c r="H8">
        <v>9</v>
      </c>
      <c r="I8">
        <f t="shared" si="0"/>
        <v>3015</v>
      </c>
      <c r="M8" t="s">
        <v>118</v>
      </c>
      <c r="N8" t="s">
        <v>141</v>
      </c>
    </row>
    <row r="9" spans="2:14" x14ac:dyDescent="0.25">
      <c r="B9" s="2" t="s">
        <v>121</v>
      </c>
      <c r="C9" t="s">
        <v>115</v>
      </c>
      <c r="D9" t="s">
        <v>135</v>
      </c>
      <c r="E9" t="s">
        <v>136</v>
      </c>
      <c r="F9">
        <v>1000</v>
      </c>
      <c r="G9">
        <v>1545</v>
      </c>
      <c r="H9">
        <v>10</v>
      </c>
      <c r="I9">
        <f t="shared" si="0"/>
        <v>5450</v>
      </c>
      <c r="M9" t="s">
        <v>119</v>
      </c>
      <c r="N9" t="s">
        <v>145</v>
      </c>
    </row>
    <row r="10" spans="2:14" x14ac:dyDescent="0.25">
      <c r="B10" s="2" t="s">
        <v>122</v>
      </c>
      <c r="C10" t="s">
        <v>115</v>
      </c>
      <c r="D10" t="s">
        <v>137</v>
      </c>
      <c r="E10" s="7" t="s">
        <v>138</v>
      </c>
      <c r="F10" s="7">
        <v>350</v>
      </c>
      <c r="G10">
        <v>600</v>
      </c>
      <c r="H10">
        <v>5</v>
      </c>
      <c r="I10">
        <f t="shared" si="0"/>
        <v>1250</v>
      </c>
      <c r="M10" t="s">
        <v>120</v>
      </c>
      <c r="N10" t="s">
        <v>156</v>
      </c>
    </row>
    <row r="11" spans="2:14" x14ac:dyDescent="0.25">
      <c r="B11" s="2" t="s">
        <v>123</v>
      </c>
      <c r="C11" t="s">
        <v>116</v>
      </c>
      <c r="D11" t="s">
        <v>139</v>
      </c>
      <c r="E11" t="s">
        <v>155</v>
      </c>
      <c r="F11">
        <v>2100</v>
      </c>
      <c r="G11">
        <v>3000</v>
      </c>
      <c r="H11">
        <v>3</v>
      </c>
      <c r="I11">
        <f t="shared" si="0"/>
        <v>2700</v>
      </c>
      <c r="N11" t="s">
        <v>147</v>
      </c>
    </row>
    <row r="12" spans="2:14" x14ac:dyDescent="0.25">
      <c r="B12" s="2" t="s">
        <v>133</v>
      </c>
      <c r="C12" t="s">
        <v>118</v>
      </c>
      <c r="D12" t="s">
        <v>151</v>
      </c>
      <c r="E12" t="s">
        <v>153</v>
      </c>
      <c r="F12">
        <v>1000</v>
      </c>
      <c r="G12">
        <v>1300</v>
      </c>
      <c r="H12">
        <v>22</v>
      </c>
      <c r="I12">
        <f t="shared" si="0"/>
        <v>6600</v>
      </c>
      <c r="N12" t="s">
        <v>157</v>
      </c>
    </row>
    <row r="13" spans="2:14" x14ac:dyDescent="0.25">
      <c r="B13" s="2" t="s">
        <v>129</v>
      </c>
      <c r="C13" t="s">
        <v>118</v>
      </c>
      <c r="D13" t="s">
        <v>146</v>
      </c>
      <c r="E13" t="s">
        <v>147</v>
      </c>
      <c r="F13">
        <v>30</v>
      </c>
      <c r="G13">
        <v>50</v>
      </c>
      <c r="H13">
        <v>12</v>
      </c>
      <c r="I13">
        <f t="shared" si="0"/>
        <v>240</v>
      </c>
      <c r="N13" t="s">
        <v>154</v>
      </c>
    </row>
    <row r="14" spans="2:14" x14ac:dyDescent="0.25">
      <c r="B14" s="2" t="s">
        <v>130</v>
      </c>
      <c r="C14" t="s">
        <v>118</v>
      </c>
      <c r="D14" t="s">
        <v>148</v>
      </c>
      <c r="E14" t="s">
        <v>157</v>
      </c>
      <c r="F14">
        <v>750</v>
      </c>
      <c r="G14">
        <v>1350</v>
      </c>
      <c r="H14">
        <v>25</v>
      </c>
      <c r="I14">
        <f t="shared" si="0"/>
        <v>15000</v>
      </c>
      <c r="N14" t="s">
        <v>153</v>
      </c>
    </row>
    <row r="15" spans="2:14" x14ac:dyDescent="0.25">
      <c r="B15" s="2" t="s">
        <v>132</v>
      </c>
      <c r="C15" t="s">
        <v>118</v>
      </c>
      <c r="D15" s="22" t="s">
        <v>150</v>
      </c>
      <c r="E15" t="s">
        <v>154</v>
      </c>
      <c r="F15">
        <v>200</v>
      </c>
      <c r="G15">
        <v>400</v>
      </c>
      <c r="H15">
        <v>15</v>
      </c>
      <c r="I15">
        <f t="shared" si="0"/>
        <v>3000</v>
      </c>
    </row>
    <row r="16" spans="2:14" ht="15.75" thickBot="1" x14ac:dyDescent="0.3">
      <c r="B16" s="2" t="s">
        <v>131</v>
      </c>
      <c r="C16" t="s">
        <v>118</v>
      </c>
      <c r="D16" s="23" t="s">
        <v>149</v>
      </c>
      <c r="E16" t="s">
        <v>136</v>
      </c>
      <c r="F16">
        <v>190</v>
      </c>
      <c r="G16">
        <v>1100</v>
      </c>
      <c r="H16">
        <v>20</v>
      </c>
      <c r="I16">
        <f t="shared" si="0"/>
        <v>18200</v>
      </c>
    </row>
    <row r="17" spans="2:9" x14ac:dyDescent="0.25">
      <c r="B17" s="2" t="s">
        <v>128</v>
      </c>
      <c r="C17" t="s">
        <v>118</v>
      </c>
      <c r="D17" t="s">
        <v>146</v>
      </c>
      <c r="E17" t="s">
        <v>156</v>
      </c>
      <c r="F17">
        <v>20</v>
      </c>
      <c r="G17">
        <v>35</v>
      </c>
      <c r="H17">
        <v>10</v>
      </c>
      <c r="I17">
        <f t="shared" si="0"/>
        <v>150</v>
      </c>
    </row>
    <row r="18" spans="2:9" x14ac:dyDescent="0.25">
      <c r="B18" s="2" t="s">
        <v>178</v>
      </c>
      <c r="C18" t="s">
        <v>119</v>
      </c>
      <c r="D18" t="s">
        <v>179</v>
      </c>
      <c r="E18" t="s">
        <v>155</v>
      </c>
      <c r="F18">
        <v>600</v>
      </c>
      <c r="G18">
        <v>800</v>
      </c>
      <c r="H18">
        <v>7</v>
      </c>
      <c r="I18">
        <f t="shared" si="0"/>
        <v>1400</v>
      </c>
    </row>
    <row r="19" spans="2:9" x14ac:dyDescent="0.25">
      <c r="B19" s="2" t="s">
        <v>134</v>
      </c>
      <c r="C19" t="s">
        <v>119</v>
      </c>
      <c r="D19" t="s">
        <v>152</v>
      </c>
      <c r="E19" t="s">
        <v>155</v>
      </c>
      <c r="F19">
        <v>350</v>
      </c>
      <c r="G19">
        <v>500</v>
      </c>
      <c r="H19">
        <v>5</v>
      </c>
      <c r="I19">
        <f t="shared" si="0"/>
        <v>750</v>
      </c>
    </row>
  </sheetData>
  <sortState ref="B5:H19">
    <sortCondition ref="C5:C19"/>
    <sortCondition sortBy="cellColor" ref="D5:D19" dxfId="2"/>
    <sortCondition descending="1" ref="F5:F19"/>
  </sortState>
  <conditionalFormatting sqref="D5:D19">
    <cfRule type="expression" dxfId="1" priority="3">
      <formula>AND(F5&gt;=500,G5&lt;=3000,H5&lt;10)</formula>
    </cfRule>
  </conditionalFormatting>
  <conditionalFormatting sqref="G5:G19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{BFE990E2-2FE4-4F3C-8BA2-76A5D1A1A91F}</x14:id>
        </ext>
      </extLst>
    </cfRule>
  </conditionalFormatting>
  <conditionalFormatting sqref="H5:H19">
    <cfRule type="iconSet" priority="1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dataValidations count="5">
    <dataValidation type="custom" allowBlank="1" showInputMessage="1" showErrorMessage="1" sqref="B5:B1048576">
      <formula1>ISNUMBER(VALUE(B5))</formula1>
    </dataValidation>
    <dataValidation type="list" allowBlank="1" showInputMessage="1" showErrorMessage="1" sqref="C5:C1048576">
      <formula1>პროდუქტის_კატეგორიები</formula1>
    </dataValidation>
    <dataValidation type="custom" allowBlank="1" showInputMessage="1" showErrorMessage="1" sqref="D17:D1048576 N5 D5:D15 N7:N14">
      <formula1>ISTEXT(D5)</formula1>
    </dataValidation>
    <dataValidation type="custom" allowBlank="1" showInputMessage="1" showErrorMessage="1" sqref="F5:H1048576">
      <formula1>ISNUMBER(F5)</formula1>
    </dataValidation>
    <dataValidation type="list" allowBlank="1" showInputMessage="1" showErrorMessage="1" sqref="E5:E1048576">
      <formula1>ბრენდების_სია</formula1>
    </dataValidation>
  </dataValidations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FE990E2-2FE4-4F3C-8BA2-76A5D1A1A91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G5:G19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5"/>
  <sheetViews>
    <sheetView topLeftCell="A34" workbookViewId="0"/>
  </sheetViews>
  <sheetFormatPr defaultRowHeight="15" x14ac:dyDescent="0.25"/>
  <cols>
    <col min="2" max="2" width="15.25" style="2" customWidth="1"/>
    <col min="3" max="3" width="23.5" bestFit="1" customWidth="1"/>
    <col min="4" max="4" width="24.125" bestFit="1" customWidth="1"/>
    <col min="5" max="8" width="15.25" customWidth="1"/>
    <col min="13" max="13" width="24" bestFit="1" customWidth="1"/>
    <col min="14" max="14" width="14.5" bestFit="1" customWidth="1"/>
  </cols>
  <sheetData>
    <row r="1" spans="2:14" x14ac:dyDescent="0.25">
      <c r="B1"/>
    </row>
    <row r="2" spans="2:14" x14ac:dyDescent="0.25">
      <c r="B2"/>
    </row>
    <row r="3" spans="2:14" x14ac:dyDescent="0.25">
      <c r="B3"/>
    </row>
    <row r="4" spans="2:14" ht="30" x14ac:dyDescent="0.25">
      <c r="B4" s="21" t="s">
        <v>77</v>
      </c>
      <c r="C4" s="9" t="s">
        <v>78</v>
      </c>
      <c r="D4" s="21" t="s">
        <v>80</v>
      </c>
      <c r="E4" s="9" t="s">
        <v>79</v>
      </c>
      <c r="F4" s="21" t="s">
        <v>159</v>
      </c>
      <c r="G4" s="9" t="s">
        <v>81</v>
      </c>
      <c r="H4" s="9" t="s">
        <v>82</v>
      </c>
      <c r="I4" s="9" t="s">
        <v>161</v>
      </c>
      <c r="M4" t="s">
        <v>114</v>
      </c>
      <c r="N4" t="s">
        <v>158</v>
      </c>
    </row>
    <row r="5" spans="2:14" x14ac:dyDescent="0.25">
      <c r="B5" s="2" t="s">
        <v>124</v>
      </c>
      <c r="C5" t="s">
        <v>117</v>
      </c>
      <c r="D5" t="s">
        <v>140</v>
      </c>
      <c r="E5" t="s">
        <v>141</v>
      </c>
      <c r="F5">
        <v>200</v>
      </c>
      <c r="G5">
        <v>700</v>
      </c>
      <c r="H5">
        <v>15</v>
      </c>
      <c r="I5">
        <f>H5*G5-H5*F5</f>
        <v>7500</v>
      </c>
      <c r="M5" t="s">
        <v>115</v>
      </c>
      <c r="N5" t="s">
        <v>136</v>
      </c>
    </row>
    <row r="6" spans="2:14" x14ac:dyDescent="0.25">
      <c r="B6" s="2" t="s">
        <v>126</v>
      </c>
      <c r="C6" t="s">
        <v>117</v>
      </c>
      <c r="D6" t="s">
        <v>143</v>
      </c>
      <c r="E6" t="s">
        <v>136</v>
      </c>
      <c r="F6">
        <v>150</v>
      </c>
      <c r="G6">
        <v>200</v>
      </c>
      <c r="H6">
        <v>20</v>
      </c>
      <c r="I6">
        <f t="shared" ref="I6:I19" si="0">H6*G6-H6*F6</f>
        <v>1000</v>
      </c>
      <c r="M6" t="s">
        <v>116</v>
      </c>
      <c r="N6" s="7" t="s">
        <v>138</v>
      </c>
    </row>
    <row r="7" spans="2:14" x14ac:dyDescent="0.25">
      <c r="B7" s="2" t="s">
        <v>125</v>
      </c>
      <c r="C7" t="s">
        <v>117</v>
      </c>
      <c r="D7" t="s">
        <v>142</v>
      </c>
      <c r="E7" t="s">
        <v>136</v>
      </c>
      <c r="F7">
        <v>110</v>
      </c>
      <c r="G7">
        <v>450</v>
      </c>
      <c r="H7">
        <v>12</v>
      </c>
      <c r="I7">
        <f t="shared" si="0"/>
        <v>4080</v>
      </c>
      <c r="M7" t="s">
        <v>117</v>
      </c>
      <c r="N7" t="s">
        <v>155</v>
      </c>
    </row>
    <row r="8" spans="2:14" x14ac:dyDescent="0.25">
      <c r="B8" s="2" t="s">
        <v>127</v>
      </c>
      <c r="C8" t="s">
        <v>117</v>
      </c>
      <c r="D8" t="s">
        <v>144</v>
      </c>
      <c r="E8" t="s">
        <v>145</v>
      </c>
      <c r="F8">
        <v>15</v>
      </c>
      <c r="G8">
        <v>350</v>
      </c>
      <c r="H8">
        <v>9</v>
      </c>
      <c r="I8">
        <f t="shared" si="0"/>
        <v>3015</v>
      </c>
      <c r="M8" t="s">
        <v>118</v>
      </c>
      <c r="N8" t="s">
        <v>141</v>
      </c>
    </row>
    <row r="9" spans="2:14" x14ac:dyDescent="0.25">
      <c r="B9" s="2" t="s">
        <v>121</v>
      </c>
      <c r="C9" t="s">
        <v>115</v>
      </c>
      <c r="D9" t="s">
        <v>135</v>
      </c>
      <c r="E9" t="s">
        <v>136</v>
      </c>
      <c r="F9">
        <v>1000</v>
      </c>
      <c r="G9">
        <v>1545</v>
      </c>
      <c r="H9">
        <v>10</v>
      </c>
      <c r="I9">
        <f t="shared" si="0"/>
        <v>5450</v>
      </c>
      <c r="M9" t="s">
        <v>119</v>
      </c>
      <c r="N9" t="s">
        <v>145</v>
      </c>
    </row>
    <row r="10" spans="2:14" x14ac:dyDescent="0.25">
      <c r="B10" s="2" t="s">
        <v>122</v>
      </c>
      <c r="C10" t="s">
        <v>115</v>
      </c>
      <c r="D10" t="s">
        <v>137</v>
      </c>
      <c r="E10" s="7" t="s">
        <v>138</v>
      </c>
      <c r="F10" s="7">
        <v>350</v>
      </c>
      <c r="G10">
        <v>600</v>
      </c>
      <c r="H10">
        <v>5</v>
      </c>
      <c r="I10">
        <f t="shared" si="0"/>
        <v>1250</v>
      </c>
      <c r="M10" t="s">
        <v>120</v>
      </c>
      <c r="N10" t="s">
        <v>156</v>
      </c>
    </row>
    <row r="11" spans="2:14" x14ac:dyDescent="0.25">
      <c r="B11" s="2" t="s">
        <v>123</v>
      </c>
      <c r="C11" t="s">
        <v>116</v>
      </c>
      <c r="D11" t="s">
        <v>139</v>
      </c>
      <c r="E11" t="s">
        <v>155</v>
      </c>
      <c r="F11">
        <v>2100</v>
      </c>
      <c r="G11">
        <v>3000</v>
      </c>
      <c r="H11">
        <v>3</v>
      </c>
      <c r="I11">
        <f t="shared" si="0"/>
        <v>2700</v>
      </c>
      <c r="N11" t="s">
        <v>147</v>
      </c>
    </row>
    <row r="12" spans="2:14" x14ac:dyDescent="0.25">
      <c r="B12" s="2" t="s">
        <v>133</v>
      </c>
      <c r="C12" t="s">
        <v>118</v>
      </c>
      <c r="D12" t="s">
        <v>151</v>
      </c>
      <c r="E12" t="s">
        <v>153</v>
      </c>
      <c r="F12">
        <v>1000</v>
      </c>
      <c r="G12">
        <v>1300</v>
      </c>
      <c r="H12">
        <v>22</v>
      </c>
      <c r="I12">
        <f t="shared" si="0"/>
        <v>6600</v>
      </c>
      <c r="N12" t="s">
        <v>157</v>
      </c>
    </row>
    <row r="13" spans="2:14" x14ac:dyDescent="0.25">
      <c r="B13" s="2" t="s">
        <v>129</v>
      </c>
      <c r="C13" t="s">
        <v>118</v>
      </c>
      <c r="D13" t="s">
        <v>146</v>
      </c>
      <c r="E13" t="s">
        <v>147</v>
      </c>
      <c r="F13">
        <v>30</v>
      </c>
      <c r="G13">
        <v>50</v>
      </c>
      <c r="H13">
        <v>12</v>
      </c>
      <c r="I13">
        <f t="shared" si="0"/>
        <v>240</v>
      </c>
      <c r="N13" t="s">
        <v>154</v>
      </c>
    </row>
    <row r="14" spans="2:14" x14ac:dyDescent="0.25">
      <c r="B14" s="2" t="s">
        <v>130</v>
      </c>
      <c r="C14" t="s">
        <v>118</v>
      </c>
      <c r="D14" t="s">
        <v>148</v>
      </c>
      <c r="E14" t="s">
        <v>157</v>
      </c>
      <c r="F14">
        <v>750</v>
      </c>
      <c r="G14">
        <v>1350</v>
      </c>
      <c r="H14">
        <v>25</v>
      </c>
      <c r="I14">
        <f t="shared" si="0"/>
        <v>15000</v>
      </c>
      <c r="N14" t="s">
        <v>153</v>
      </c>
    </row>
    <row r="15" spans="2:14" x14ac:dyDescent="0.25">
      <c r="B15" s="2" t="s">
        <v>132</v>
      </c>
      <c r="C15" t="s">
        <v>118</v>
      </c>
      <c r="D15" s="22" t="s">
        <v>150</v>
      </c>
      <c r="E15" t="s">
        <v>154</v>
      </c>
      <c r="F15">
        <v>200</v>
      </c>
      <c r="G15">
        <v>400</v>
      </c>
      <c r="H15">
        <v>15</v>
      </c>
      <c r="I15">
        <f t="shared" si="0"/>
        <v>3000</v>
      </c>
    </row>
    <row r="16" spans="2:14" ht="15.75" thickBot="1" x14ac:dyDescent="0.3">
      <c r="B16" s="2" t="s">
        <v>131</v>
      </c>
      <c r="C16" t="s">
        <v>118</v>
      </c>
      <c r="D16" s="23" t="s">
        <v>149</v>
      </c>
      <c r="E16" t="s">
        <v>136</v>
      </c>
      <c r="F16">
        <v>190</v>
      </c>
      <c r="G16">
        <v>1100</v>
      </c>
      <c r="H16">
        <v>20</v>
      </c>
      <c r="I16">
        <f t="shared" si="0"/>
        <v>18200</v>
      </c>
    </row>
    <row r="17" spans="2:9" x14ac:dyDescent="0.25">
      <c r="B17" s="2" t="s">
        <v>128</v>
      </c>
      <c r="C17" t="s">
        <v>118</v>
      </c>
      <c r="D17" t="s">
        <v>146</v>
      </c>
      <c r="E17" t="s">
        <v>156</v>
      </c>
      <c r="F17">
        <v>20</v>
      </c>
      <c r="G17">
        <v>35</v>
      </c>
      <c r="H17">
        <v>10</v>
      </c>
      <c r="I17">
        <f t="shared" si="0"/>
        <v>150</v>
      </c>
    </row>
    <row r="18" spans="2:9" x14ac:dyDescent="0.25">
      <c r="B18" s="2" t="s">
        <v>178</v>
      </c>
      <c r="C18" t="s">
        <v>119</v>
      </c>
      <c r="D18" t="s">
        <v>179</v>
      </c>
      <c r="E18" t="s">
        <v>155</v>
      </c>
      <c r="F18">
        <v>600</v>
      </c>
      <c r="G18">
        <v>800</v>
      </c>
      <c r="H18">
        <v>7</v>
      </c>
      <c r="I18">
        <f t="shared" si="0"/>
        <v>1400</v>
      </c>
    </row>
    <row r="19" spans="2:9" x14ac:dyDescent="0.25">
      <c r="B19" s="2" t="s">
        <v>134</v>
      </c>
      <c r="C19" t="s">
        <v>119</v>
      </c>
      <c r="D19" t="s">
        <v>152</v>
      </c>
      <c r="E19" t="s">
        <v>155</v>
      </c>
      <c r="F19">
        <v>350</v>
      </c>
      <c r="G19">
        <v>500</v>
      </c>
      <c r="H19">
        <v>5</v>
      </c>
      <c r="I19">
        <f t="shared" si="0"/>
        <v>750</v>
      </c>
    </row>
    <row r="23" spans="2:9" ht="30" x14ac:dyDescent="0.25">
      <c r="B23" s="21" t="s">
        <v>77</v>
      </c>
      <c r="C23" s="9" t="s">
        <v>78</v>
      </c>
      <c r="D23" s="21" t="s">
        <v>80</v>
      </c>
      <c r="E23" s="9" t="s">
        <v>79</v>
      </c>
      <c r="F23" s="21" t="s">
        <v>159</v>
      </c>
      <c r="G23" s="9" t="s">
        <v>81</v>
      </c>
      <c r="H23" s="9" t="s">
        <v>82</v>
      </c>
      <c r="I23" s="9" t="s">
        <v>161</v>
      </c>
    </row>
    <row r="24" spans="2:9" x14ac:dyDescent="0.25">
      <c r="C24" t="s">
        <v>117</v>
      </c>
      <c r="E24" t="s">
        <v>136</v>
      </c>
      <c r="F24" t="s">
        <v>180</v>
      </c>
    </row>
    <row r="29" spans="2:9" x14ac:dyDescent="0.25">
      <c r="B29"/>
    </row>
    <row r="34" spans="2:9" ht="30" x14ac:dyDescent="0.25">
      <c r="B34" s="21" t="s">
        <v>77</v>
      </c>
      <c r="C34" s="9" t="s">
        <v>78</v>
      </c>
      <c r="D34" s="21" t="s">
        <v>80</v>
      </c>
      <c r="E34" s="9" t="s">
        <v>79</v>
      </c>
      <c r="F34" s="21" t="s">
        <v>159</v>
      </c>
      <c r="G34" s="9" t="s">
        <v>81</v>
      </c>
      <c r="H34" s="9" t="s">
        <v>82</v>
      </c>
      <c r="I34" s="9" t="s">
        <v>161</v>
      </c>
    </row>
    <row r="35" spans="2:9" x14ac:dyDescent="0.25">
      <c r="B35" s="2" t="s">
        <v>126</v>
      </c>
      <c r="C35" t="s">
        <v>117</v>
      </c>
      <c r="D35" t="s">
        <v>143</v>
      </c>
      <c r="E35" t="s">
        <v>136</v>
      </c>
      <c r="F35">
        <v>150</v>
      </c>
      <c r="G35">
        <v>200</v>
      </c>
      <c r="H35">
        <v>20</v>
      </c>
      <c r="I35">
        <v>1000</v>
      </c>
    </row>
  </sheetData>
  <autoFilter ref="B4:I4"/>
  <conditionalFormatting sqref="D5:D19">
    <cfRule type="expression" dxfId="0" priority="3">
      <formula>AND(F5&gt;=500,G5&lt;=3000,H5&lt;10)</formula>
    </cfRule>
  </conditionalFormatting>
  <conditionalFormatting sqref="G5:G19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{DB4F4EAD-EE80-453F-A77F-AE813A558B72}</x14:id>
        </ext>
      </extLst>
    </cfRule>
  </conditionalFormatting>
  <conditionalFormatting sqref="H5:H19">
    <cfRule type="iconSet" priority="1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dataValidations count="6">
    <dataValidation type="list" allowBlank="1" showInputMessage="1" showErrorMessage="1" sqref="E5:E22 E24">
      <formula1>ბრენდების_სია</formula1>
    </dataValidation>
    <dataValidation type="custom" allowBlank="1" showInputMessage="1" showErrorMessage="1" sqref="F5:H22 H24">
      <formula1>ISNUMBER(F5)</formula1>
    </dataValidation>
    <dataValidation type="custom" allowBlank="1" showInputMessage="1" showErrorMessage="1" sqref="N7:N14 N5 D5:D15 D17:D22 D24">
      <formula1>ISTEXT(D5)</formula1>
    </dataValidation>
    <dataValidation type="list" allowBlank="1" showInputMessage="1" showErrorMessage="1" sqref="C5:C22 C24">
      <formula1>პროდუქტის_კატეგორიები</formula1>
    </dataValidation>
    <dataValidation type="custom" allowBlank="1" showInputMessage="1" showErrorMessage="1" sqref="B5:B22">
      <formula1>ISNUMBER(VALUE(B5))</formula1>
    </dataValidation>
    <dataValidation type="list" allowBlank="1" showInputMessage="1" showErrorMessage="1" sqref="B24">
      <formula1>$B$5:$B$19</formula1>
    </dataValidation>
  </dataValidations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B4F4EAD-EE80-453F-A77F-AE813A558B7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G5:G19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W45"/>
  <sheetViews>
    <sheetView topLeftCell="A16" workbookViewId="0">
      <selection activeCell="I31" sqref="I31"/>
    </sheetView>
  </sheetViews>
  <sheetFormatPr defaultRowHeight="15" outlineLevelRow="2" x14ac:dyDescent="0.25"/>
  <cols>
    <col min="2" max="2" width="14.375" style="2" customWidth="1"/>
    <col min="3" max="6" width="13.5" customWidth="1"/>
    <col min="7" max="7" width="15.5" bestFit="1" customWidth="1"/>
    <col min="8" max="10" width="13.5" customWidth="1"/>
    <col min="11" max="11" width="18" bestFit="1" customWidth="1"/>
    <col min="12" max="12" width="13.5" customWidth="1"/>
    <col min="14" max="14" width="16.5" customWidth="1"/>
    <col min="15" max="15" width="16" customWidth="1"/>
    <col min="16" max="16" width="11.125" customWidth="1"/>
    <col min="17" max="18" width="12.375" customWidth="1"/>
    <col min="19" max="19" width="10.5" customWidth="1"/>
    <col min="20" max="20" width="11.75" customWidth="1"/>
    <col min="21" max="21" width="11.75" bestFit="1" customWidth="1"/>
    <col min="23" max="23" width="14.875" bestFit="1" customWidth="1"/>
  </cols>
  <sheetData>
    <row r="4" spans="2:23" ht="30" x14ac:dyDescent="0.25">
      <c r="B4" s="6" t="s">
        <v>76</v>
      </c>
      <c r="C4" t="s">
        <v>1</v>
      </c>
      <c r="D4" t="s">
        <v>2</v>
      </c>
      <c r="E4" t="s">
        <v>8</v>
      </c>
      <c r="F4" t="s">
        <v>3</v>
      </c>
      <c r="G4" t="s">
        <v>4</v>
      </c>
      <c r="H4" t="s">
        <v>5</v>
      </c>
      <c r="I4" s="1" t="s">
        <v>6</v>
      </c>
      <c r="J4" s="1" t="s">
        <v>182</v>
      </c>
      <c r="K4" t="s">
        <v>7</v>
      </c>
      <c r="L4" t="s">
        <v>181</v>
      </c>
      <c r="O4" s="28" t="s">
        <v>192</v>
      </c>
      <c r="P4" s="28"/>
      <c r="Q4" s="28"/>
      <c r="R4" s="28"/>
      <c r="S4" s="28"/>
      <c r="T4" s="28"/>
    </row>
    <row r="5" spans="2:23" outlineLevel="2" x14ac:dyDescent="0.25">
      <c r="B5" s="2" t="s">
        <v>9</v>
      </c>
      <c r="C5" t="s">
        <v>25</v>
      </c>
      <c r="D5" t="s">
        <v>41</v>
      </c>
      <c r="E5" t="s">
        <v>57</v>
      </c>
      <c r="F5">
        <v>598456325</v>
      </c>
      <c r="G5" s="3" t="s">
        <v>60</v>
      </c>
      <c r="H5">
        <v>1500</v>
      </c>
      <c r="I5">
        <f ca="1">RANDBETWEEN(1,4)</f>
        <v>1</v>
      </c>
      <c r="J5">
        <f ca="1">HLOOKUP(I5,$P$5:$T$6,2,1)</f>
        <v>0.05</v>
      </c>
      <c r="K5">
        <f ca="1">H5*J5+H5</f>
        <v>1575</v>
      </c>
      <c r="L5" t="s">
        <v>183</v>
      </c>
      <c r="O5" s="9" t="s">
        <v>193</v>
      </c>
      <c r="P5" s="9">
        <v>0</v>
      </c>
      <c r="Q5" s="9">
        <v>1</v>
      </c>
      <c r="R5" s="9">
        <v>2</v>
      </c>
      <c r="S5" s="9">
        <v>3</v>
      </c>
      <c r="T5" s="9">
        <v>4</v>
      </c>
    </row>
    <row r="6" spans="2:23" outlineLevel="2" x14ac:dyDescent="0.25">
      <c r="B6" s="2" t="s">
        <v>10</v>
      </c>
      <c r="C6" t="s">
        <v>26</v>
      </c>
      <c r="D6" t="s">
        <v>42</v>
      </c>
      <c r="E6" t="s">
        <v>57</v>
      </c>
      <c r="F6">
        <v>591748968</v>
      </c>
      <c r="G6" s="3" t="s">
        <v>61</v>
      </c>
      <c r="H6">
        <v>1500</v>
      </c>
      <c r="I6">
        <f t="shared" ref="I6:I22" ca="1" si="0">RANDBETWEEN(1,4)</f>
        <v>2</v>
      </c>
      <c r="J6">
        <f t="shared" ref="J6:J24" ca="1" si="1">HLOOKUP(I6,$P$5:$T$6,2,1)</f>
        <v>7.0000000000000007E-2</v>
      </c>
      <c r="K6">
        <f t="shared" ref="K6:K24" ca="1" si="2">H6*J6+H6</f>
        <v>1605</v>
      </c>
      <c r="L6" t="s">
        <v>184</v>
      </c>
      <c r="O6" s="9" t="s">
        <v>194</v>
      </c>
      <c r="P6" s="29">
        <v>0</v>
      </c>
      <c r="Q6" s="29">
        <v>0.05</v>
      </c>
      <c r="R6" s="29">
        <v>7.0000000000000007E-2</v>
      </c>
      <c r="S6" s="29">
        <v>0.12</v>
      </c>
      <c r="T6" s="29">
        <v>0.2</v>
      </c>
    </row>
    <row r="7" spans="2:23" outlineLevel="1" x14ac:dyDescent="0.25">
      <c r="E7" s="30" t="s">
        <v>195</v>
      </c>
      <c r="G7" s="3"/>
      <c r="I7">
        <f ca="1">SUBTOTAL(9,I5:I6)</f>
        <v>3</v>
      </c>
      <c r="K7">
        <f ca="1">SUBTOTAL(9,K5:K6)</f>
        <v>3180</v>
      </c>
      <c r="O7" s="9"/>
      <c r="P7" s="29"/>
      <c r="Q7" s="29"/>
      <c r="R7" s="29"/>
      <c r="S7" s="29"/>
      <c r="T7" s="29"/>
    </row>
    <row r="8" spans="2:23" outlineLevel="2" x14ac:dyDescent="0.25">
      <c r="B8" s="2" t="s">
        <v>11</v>
      </c>
      <c r="C8" t="s">
        <v>27</v>
      </c>
      <c r="D8" t="s">
        <v>43</v>
      </c>
      <c r="E8" t="s">
        <v>58</v>
      </c>
      <c r="F8">
        <v>599868650</v>
      </c>
      <c r="G8" s="3" t="s">
        <v>62</v>
      </c>
      <c r="H8">
        <v>900</v>
      </c>
      <c r="I8">
        <f t="shared" ca="1" si="0"/>
        <v>3</v>
      </c>
      <c r="J8">
        <f t="shared" ca="1" si="1"/>
        <v>0.12</v>
      </c>
      <c r="K8">
        <f t="shared" ca="1" si="2"/>
        <v>1008</v>
      </c>
      <c r="L8" t="s">
        <v>183</v>
      </c>
      <c r="W8" s="9" t="s">
        <v>112</v>
      </c>
    </row>
    <row r="9" spans="2:23" outlineLevel="2" x14ac:dyDescent="0.25">
      <c r="B9" s="2" t="s">
        <v>12</v>
      </c>
      <c r="C9" t="s">
        <v>28</v>
      </c>
      <c r="D9" t="s">
        <v>45</v>
      </c>
      <c r="E9" t="s">
        <v>58</v>
      </c>
      <c r="F9">
        <v>598111315</v>
      </c>
      <c r="G9" s="3" t="s">
        <v>63</v>
      </c>
      <c r="H9">
        <v>900</v>
      </c>
      <c r="I9">
        <f t="shared" ca="1" si="0"/>
        <v>3</v>
      </c>
      <c r="J9">
        <f t="shared" ca="1" si="1"/>
        <v>0.12</v>
      </c>
      <c r="K9">
        <f t="shared" ca="1" si="2"/>
        <v>1008</v>
      </c>
      <c r="L9" t="s">
        <v>184</v>
      </c>
      <c r="W9" t="s">
        <v>57</v>
      </c>
    </row>
    <row r="10" spans="2:23" outlineLevel="2" x14ac:dyDescent="0.25">
      <c r="B10" s="2" t="s">
        <v>13</v>
      </c>
      <c r="C10" t="s">
        <v>29</v>
      </c>
      <c r="D10" t="s">
        <v>46</v>
      </c>
      <c r="E10" t="s">
        <v>58</v>
      </c>
      <c r="F10">
        <v>577452535</v>
      </c>
      <c r="G10" s="3" t="s">
        <v>64</v>
      </c>
      <c r="H10">
        <v>900</v>
      </c>
      <c r="I10">
        <f t="shared" ca="1" si="0"/>
        <v>2</v>
      </c>
      <c r="J10">
        <f t="shared" ca="1" si="1"/>
        <v>7.0000000000000007E-2</v>
      </c>
      <c r="K10">
        <f t="shared" ca="1" si="2"/>
        <v>963</v>
      </c>
      <c r="L10" t="s">
        <v>185</v>
      </c>
      <c r="W10" t="s">
        <v>58</v>
      </c>
    </row>
    <row r="11" spans="2:23" outlineLevel="2" x14ac:dyDescent="0.25">
      <c r="B11" s="2" t="s">
        <v>14</v>
      </c>
      <c r="C11" t="s">
        <v>30</v>
      </c>
      <c r="D11" t="s">
        <v>47</v>
      </c>
      <c r="E11" t="s">
        <v>58</v>
      </c>
      <c r="F11">
        <v>568859565</v>
      </c>
      <c r="G11" s="3" t="s">
        <v>65</v>
      </c>
      <c r="H11">
        <v>900</v>
      </c>
      <c r="I11">
        <f t="shared" ca="1" si="0"/>
        <v>3</v>
      </c>
      <c r="J11">
        <f t="shared" ca="1" si="1"/>
        <v>0.12</v>
      </c>
      <c r="K11">
        <f t="shared" ca="1" si="2"/>
        <v>1008</v>
      </c>
      <c r="L11" t="s">
        <v>186</v>
      </c>
      <c r="W11" t="s">
        <v>59</v>
      </c>
    </row>
    <row r="12" spans="2:23" outlineLevel="2" x14ac:dyDescent="0.25">
      <c r="B12" s="2" t="s">
        <v>15</v>
      </c>
      <c r="C12" t="s">
        <v>31</v>
      </c>
      <c r="D12" t="s">
        <v>48</v>
      </c>
      <c r="E12" t="s">
        <v>58</v>
      </c>
      <c r="F12">
        <v>599121519</v>
      </c>
      <c r="G12" s="3" t="s">
        <v>66</v>
      </c>
      <c r="H12">
        <v>900</v>
      </c>
      <c r="I12">
        <f t="shared" ca="1" si="0"/>
        <v>1</v>
      </c>
      <c r="J12">
        <f t="shared" ca="1" si="1"/>
        <v>0.05</v>
      </c>
      <c r="K12">
        <f t="shared" ca="1" si="2"/>
        <v>945</v>
      </c>
      <c r="L12" t="s">
        <v>187</v>
      </c>
      <c r="W12" t="s">
        <v>107</v>
      </c>
    </row>
    <row r="13" spans="2:23" ht="16.5" customHeight="1" outlineLevel="1" x14ac:dyDescent="0.25">
      <c r="E13" s="30" t="s">
        <v>196</v>
      </c>
      <c r="G13" s="3"/>
      <c r="I13">
        <f ca="1">SUBTOTAL(9,I8:I12)</f>
        <v>12</v>
      </c>
      <c r="K13">
        <f ca="1">SUBTOTAL(9,K8:K12)</f>
        <v>4932</v>
      </c>
    </row>
    <row r="14" spans="2:23" outlineLevel="2" x14ac:dyDescent="0.25">
      <c r="B14" s="2" t="s">
        <v>16</v>
      </c>
      <c r="C14" t="s">
        <v>32</v>
      </c>
      <c r="D14" t="s">
        <v>49</v>
      </c>
      <c r="E14" t="s">
        <v>59</v>
      </c>
      <c r="F14">
        <v>555463535</v>
      </c>
      <c r="G14" s="3" t="s">
        <v>67</v>
      </c>
      <c r="H14">
        <v>700</v>
      </c>
      <c r="I14">
        <f t="shared" ca="1" si="0"/>
        <v>1</v>
      </c>
      <c r="J14">
        <f t="shared" ca="1" si="1"/>
        <v>0.05</v>
      </c>
      <c r="K14">
        <f t="shared" ca="1" si="2"/>
        <v>735</v>
      </c>
      <c r="L14" t="s">
        <v>183</v>
      </c>
      <c r="W14" t="s">
        <v>113</v>
      </c>
    </row>
    <row r="15" spans="2:23" outlineLevel="2" x14ac:dyDescent="0.25">
      <c r="B15" s="2" t="s">
        <v>17</v>
      </c>
      <c r="C15" t="s">
        <v>33</v>
      </c>
      <c r="D15" t="s">
        <v>51</v>
      </c>
      <c r="E15" t="s">
        <v>59</v>
      </c>
      <c r="F15">
        <v>577203035</v>
      </c>
      <c r="G15" s="3" t="s">
        <v>68</v>
      </c>
      <c r="H15">
        <v>700</v>
      </c>
      <c r="I15">
        <f t="shared" ca="1" si="0"/>
        <v>1</v>
      </c>
      <c r="J15">
        <f t="shared" ca="1" si="1"/>
        <v>0.05</v>
      </c>
      <c r="K15">
        <f t="shared" ca="1" si="2"/>
        <v>735</v>
      </c>
      <c r="L15" t="s">
        <v>184</v>
      </c>
    </row>
    <row r="16" spans="2:23" outlineLevel="2" x14ac:dyDescent="0.25">
      <c r="B16" s="2" t="s">
        <v>18</v>
      </c>
      <c r="C16" t="s">
        <v>34</v>
      </c>
      <c r="D16" t="s">
        <v>52</v>
      </c>
      <c r="E16" t="s">
        <v>59</v>
      </c>
      <c r="F16">
        <v>599686263</v>
      </c>
      <c r="G16" s="3" t="s">
        <v>69</v>
      </c>
      <c r="H16">
        <v>650</v>
      </c>
      <c r="I16">
        <f t="shared" ca="1" si="0"/>
        <v>3</v>
      </c>
      <c r="J16">
        <f t="shared" ca="1" si="1"/>
        <v>0.12</v>
      </c>
      <c r="K16">
        <f t="shared" ca="1" si="2"/>
        <v>728</v>
      </c>
      <c r="L16" t="s">
        <v>185</v>
      </c>
    </row>
    <row r="17" spans="2:15" outlineLevel="2" x14ac:dyDescent="0.25">
      <c r="B17" s="2" t="s">
        <v>19</v>
      </c>
      <c r="C17" t="s">
        <v>35</v>
      </c>
      <c r="D17" t="s">
        <v>53</v>
      </c>
      <c r="E17" t="s">
        <v>59</v>
      </c>
      <c r="F17">
        <v>593464515</v>
      </c>
      <c r="G17" s="3" t="s">
        <v>70</v>
      </c>
      <c r="H17">
        <v>500</v>
      </c>
      <c r="I17">
        <f t="shared" ca="1" si="0"/>
        <v>1</v>
      </c>
      <c r="J17">
        <f t="shared" ca="1" si="1"/>
        <v>0.05</v>
      </c>
      <c r="K17">
        <f t="shared" ca="1" si="2"/>
        <v>525</v>
      </c>
      <c r="L17" t="s">
        <v>186</v>
      </c>
    </row>
    <row r="18" spans="2:15" outlineLevel="2" x14ac:dyDescent="0.25">
      <c r="B18" s="2" t="s">
        <v>20</v>
      </c>
      <c r="C18" t="s">
        <v>36</v>
      </c>
      <c r="D18" t="s">
        <v>54</v>
      </c>
      <c r="E18" t="s">
        <v>59</v>
      </c>
      <c r="F18">
        <v>599774572</v>
      </c>
      <c r="G18" s="3" t="s">
        <v>71</v>
      </c>
      <c r="H18">
        <v>600</v>
      </c>
      <c r="I18">
        <f t="shared" ca="1" si="0"/>
        <v>4</v>
      </c>
      <c r="J18">
        <f t="shared" ca="1" si="1"/>
        <v>0.2</v>
      </c>
      <c r="K18">
        <f t="shared" ca="1" si="2"/>
        <v>720</v>
      </c>
      <c r="L18" t="s">
        <v>187</v>
      </c>
    </row>
    <row r="19" spans="2:15" outlineLevel="2" x14ac:dyDescent="0.25">
      <c r="B19" s="2" t="s">
        <v>21</v>
      </c>
      <c r="C19" t="s">
        <v>37</v>
      </c>
      <c r="D19" t="s">
        <v>55</v>
      </c>
      <c r="E19" t="s">
        <v>59</v>
      </c>
      <c r="F19">
        <v>598253648</v>
      </c>
      <c r="G19" s="3" t="s">
        <v>72</v>
      </c>
      <c r="H19">
        <v>700</v>
      </c>
      <c r="I19">
        <f t="shared" ca="1" si="0"/>
        <v>1</v>
      </c>
      <c r="J19">
        <f t="shared" ca="1" si="1"/>
        <v>0.05</v>
      </c>
      <c r="K19">
        <f t="shared" ca="1" si="2"/>
        <v>735</v>
      </c>
      <c r="L19" t="s">
        <v>184</v>
      </c>
    </row>
    <row r="20" spans="2:15" outlineLevel="2" x14ac:dyDescent="0.25">
      <c r="B20" s="2" t="s">
        <v>22</v>
      </c>
      <c r="C20" t="s">
        <v>38</v>
      </c>
      <c r="D20" t="s">
        <v>56</v>
      </c>
      <c r="E20" t="s">
        <v>59</v>
      </c>
      <c r="F20">
        <v>555151617</v>
      </c>
      <c r="G20" s="3" t="s">
        <v>73</v>
      </c>
      <c r="H20">
        <v>750</v>
      </c>
      <c r="I20">
        <f t="shared" ca="1" si="0"/>
        <v>4</v>
      </c>
      <c r="J20">
        <f t="shared" ca="1" si="1"/>
        <v>0.2</v>
      </c>
      <c r="K20">
        <f t="shared" ca="1" si="2"/>
        <v>900</v>
      </c>
      <c r="L20" t="s">
        <v>187</v>
      </c>
    </row>
    <row r="21" spans="2:15" outlineLevel="2" x14ac:dyDescent="0.25">
      <c r="B21" s="2" t="s">
        <v>23</v>
      </c>
      <c r="C21" t="s">
        <v>39</v>
      </c>
      <c r="D21" t="s">
        <v>44</v>
      </c>
      <c r="E21" t="s">
        <v>59</v>
      </c>
      <c r="F21">
        <v>558963620</v>
      </c>
      <c r="G21" s="3" t="s">
        <v>74</v>
      </c>
      <c r="H21">
        <v>650</v>
      </c>
      <c r="I21">
        <f t="shared" ca="1" si="0"/>
        <v>1</v>
      </c>
      <c r="J21">
        <f t="shared" ca="1" si="1"/>
        <v>0.05</v>
      </c>
      <c r="K21">
        <f t="shared" ca="1" si="2"/>
        <v>682.5</v>
      </c>
      <c r="L21" t="s">
        <v>183</v>
      </c>
    </row>
    <row r="22" spans="2:15" outlineLevel="2" x14ac:dyDescent="0.25">
      <c r="B22" s="2" t="s">
        <v>24</v>
      </c>
      <c r="C22" t="s">
        <v>40</v>
      </c>
      <c r="D22" t="s">
        <v>50</v>
      </c>
      <c r="E22" t="s">
        <v>59</v>
      </c>
      <c r="F22">
        <v>577522013</v>
      </c>
      <c r="G22" s="3" t="s">
        <v>75</v>
      </c>
      <c r="H22">
        <v>550</v>
      </c>
      <c r="I22">
        <f t="shared" ca="1" si="0"/>
        <v>4</v>
      </c>
      <c r="J22">
        <f t="shared" ca="1" si="1"/>
        <v>0.2</v>
      </c>
      <c r="K22">
        <f t="shared" ca="1" si="2"/>
        <v>660</v>
      </c>
      <c r="L22" t="s">
        <v>186</v>
      </c>
    </row>
    <row r="23" spans="2:15" outlineLevel="1" x14ac:dyDescent="0.25">
      <c r="E23" s="30" t="s">
        <v>197</v>
      </c>
      <c r="G23" s="3"/>
      <c r="I23">
        <f ca="1">SUBTOTAL(9,I14:I22)</f>
        <v>20</v>
      </c>
      <c r="K23">
        <f ca="1">SUBTOTAL(9,K14:K22)</f>
        <v>6420.5</v>
      </c>
    </row>
    <row r="24" spans="2:15" outlineLevel="2" x14ac:dyDescent="0.25">
      <c r="B24" s="2" t="s">
        <v>108</v>
      </c>
      <c r="C24" t="s">
        <v>109</v>
      </c>
      <c r="D24" t="s">
        <v>110</v>
      </c>
      <c r="E24" t="s">
        <v>57</v>
      </c>
      <c r="F24">
        <v>598115483</v>
      </c>
      <c r="G24" s="3" t="s">
        <v>111</v>
      </c>
      <c r="H24">
        <v>1500</v>
      </c>
      <c r="I24">
        <v>10</v>
      </c>
      <c r="J24">
        <f t="shared" si="1"/>
        <v>0.2</v>
      </c>
      <c r="K24">
        <f t="shared" si="2"/>
        <v>1800</v>
      </c>
      <c r="L24" t="s">
        <v>187</v>
      </c>
    </row>
    <row r="25" spans="2:15" outlineLevel="1" x14ac:dyDescent="0.25">
      <c r="E25" s="30" t="s">
        <v>195</v>
      </c>
      <c r="G25" s="3"/>
      <c r="I25">
        <f>SUBTOTAL(9,I24:I24)</f>
        <v>10</v>
      </c>
      <c r="K25">
        <f>SUBTOTAL(9,K24:K24)</f>
        <v>1800</v>
      </c>
    </row>
    <row r="26" spans="2:15" x14ac:dyDescent="0.25">
      <c r="E26" s="30" t="s">
        <v>189</v>
      </c>
      <c r="G26" s="3"/>
      <c r="I26">
        <f ca="1">SUBTOTAL(9,I5:I24)</f>
        <v>45</v>
      </c>
      <c r="K26">
        <f ca="1">SUBTOTAL(9,K5:K24)</f>
        <v>16332.5</v>
      </c>
    </row>
    <row r="27" spans="2:15" x14ac:dyDescent="0.25">
      <c r="G27" s="3"/>
    </row>
    <row r="28" spans="2:15" x14ac:dyDescent="0.25">
      <c r="G28" s="3"/>
    </row>
    <row r="29" spans="2:15" x14ac:dyDescent="0.25">
      <c r="D29" s="2"/>
    </row>
    <row r="32" spans="2:15" x14ac:dyDescent="0.25">
      <c r="N32" s="24" t="s">
        <v>8</v>
      </c>
      <c r="O32" t="s">
        <v>59</v>
      </c>
    </row>
    <row r="34" spans="11:20" x14ac:dyDescent="0.25">
      <c r="N34" s="24" t="s">
        <v>191</v>
      </c>
      <c r="O34" s="24" t="s">
        <v>188</v>
      </c>
    </row>
    <row r="35" spans="11:20" x14ac:dyDescent="0.25">
      <c r="N35" s="24" t="s">
        <v>190</v>
      </c>
      <c r="O35" t="s">
        <v>183</v>
      </c>
      <c r="P35" t="s">
        <v>184</v>
      </c>
      <c r="Q35" t="s">
        <v>185</v>
      </c>
      <c r="R35" t="s">
        <v>186</v>
      </c>
      <c r="S35" t="s">
        <v>187</v>
      </c>
      <c r="T35" t="s">
        <v>189</v>
      </c>
    </row>
    <row r="36" spans="11:20" x14ac:dyDescent="0.25">
      <c r="K36" s="3"/>
      <c r="N36" s="25" t="s">
        <v>53</v>
      </c>
      <c r="O36" s="26"/>
      <c r="P36" s="26"/>
      <c r="Q36" s="26"/>
      <c r="R36" s="26">
        <v>500</v>
      </c>
      <c r="S36" s="26"/>
      <c r="T36" s="26">
        <v>500</v>
      </c>
    </row>
    <row r="37" spans="11:20" x14ac:dyDescent="0.25">
      <c r="N37" s="25" t="s">
        <v>49</v>
      </c>
      <c r="O37" s="26">
        <v>700</v>
      </c>
      <c r="P37" s="26"/>
      <c r="Q37" s="26"/>
      <c r="R37" s="26"/>
      <c r="S37" s="26"/>
      <c r="T37" s="26">
        <v>700</v>
      </c>
    </row>
    <row r="38" spans="11:20" x14ac:dyDescent="0.25">
      <c r="N38" s="25" t="s">
        <v>51</v>
      </c>
      <c r="O38" s="26"/>
      <c r="P38" s="26">
        <v>700</v>
      </c>
      <c r="Q38" s="26"/>
      <c r="R38" s="26"/>
      <c r="S38" s="26"/>
      <c r="T38" s="26">
        <v>700</v>
      </c>
    </row>
    <row r="39" spans="11:20" x14ac:dyDescent="0.25">
      <c r="N39" s="25" t="s">
        <v>50</v>
      </c>
      <c r="O39" s="26"/>
      <c r="P39" s="26"/>
      <c r="Q39" s="26"/>
      <c r="R39" s="26">
        <v>550</v>
      </c>
      <c r="S39" s="26"/>
      <c r="T39" s="26">
        <v>550</v>
      </c>
    </row>
    <row r="40" spans="11:20" x14ac:dyDescent="0.25">
      <c r="N40" s="25" t="s">
        <v>56</v>
      </c>
      <c r="O40" s="26"/>
      <c r="P40" s="26"/>
      <c r="Q40" s="26"/>
      <c r="R40" s="26"/>
      <c r="S40" s="26">
        <v>750</v>
      </c>
      <c r="T40" s="26">
        <v>750</v>
      </c>
    </row>
    <row r="41" spans="11:20" x14ac:dyDescent="0.25">
      <c r="N41" s="25" t="s">
        <v>54</v>
      </c>
      <c r="O41" s="26"/>
      <c r="P41" s="26"/>
      <c r="Q41" s="26"/>
      <c r="R41" s="26"/>
      <c r="S41" s="26">
        <v>600</v>
      </c>
      <c r="T41" s="26">
        <v>600</v>
      </c>
    </row>
    <row r="42" spans="11:20" x14ac:dyDescent="0.25">
      <c r="N42" s="25" t="s">
        <v>52</v>
      </c>
      <c r="O42" s="26"/>
      <c r="P42" s="26"/>
      <c r="Q42" s="26">
        <v>650</v>
      </c>
      <c r="R42" s="26"/>
      <c r="S42" s="26"/>
      <c r="T42" s="26">
        <v>650</v>
      </c>
    </row>
    <row r="43" spans="11:20" x14ac:dyDescent="0.25">
      <c r="N43" s="25" t="s">
        <v>55</v>
      </c>
      <c r="O43" s="26"/>
      <c r="P43" s="26">
        <v>700</v>
      </c>
      <c r="Q43" s="26"/>
      <c r="R43" s="26"/>
      <c r="S43" s="26"/>
      <c r="T43" s="26">
        <v>700</v>
      </c>
    </row>
    <row r="44" spans="11:20" x14ac:dyDescent="0.25">
      <c r="N44" s="25" t="s">
        <v>44</v>
      </c>
      <c r="O44" s="26">
        <v>650</v>
      </c>
      <c r="P44" s="26"/>
      <c r="Q44" s="26"/>
      <c r="R44" s="26"/>
      <c r="S44" s="26"/>
      <c r="T44" s="26">
        <v>650</v>
      </c>
    </row>
    <row r="45" spans="11:20" x14ac:dyDescent="0.25">
      <c r="N45" s="25" t="s">
        <v>189</v>
      </c>
      <c r="O45" s="26">
        <v>1350</v>
      </c>
      <c r="P45" s="26">
        <v>1400</v>
      </c>
      <c r="Q45" s="26">
        <v>650</v>
      </c>
      <c r="R45" s="26">
        <v>1050</v>
      </c>
      <c r="S45" s="26">
        <v>1350</v>
      </c>
      <c r="T45" s="26">
        <v>5800</v>
      </c>
    </row>
  </sheetData>
  <mergeCells count="1">
    <mergeCell ref="O4:T4"/>
  </mergeCells>
  <dataValidations count="8">
    <dataValidation type="list" allowBlank="1" showInputMessage="1" showErrorMessage="1" sqref="L27:L1048576 L5:L6 L8:L12 L14:L22 L24">
      <formula1>"ორშაბათი,სამშაბათი,ოთხშაბათი,ხუთშაბათი,პარასკევი,შაბათი,კვირა"</formula1>
    </dataValidation>
    <dataValidation type="custom" allowBlank="1" showInputMessage="1" showErrorMessage="1" errorTitle="შეცდომა" error="მეილის ფორმატი არასწორია ან ასეთი მეილით მომხმარებელი უკვე დარეგისტრირებულია" sqref="G27:G1048576 G5:G6 G8:G12 G14:G22 G24">
      <formula1>AND(FIND(".",G5,FIND("@",G5))&lt;LEN(G5),COUNTIF(ელ_ფოსტა,G5)&lt;=1)</formula1>
    </dataValidation>
    <dataValidation type="custom" allowBlank="1" showInputMessage="1" showErrorMessage="1" sqref="K36">
      <formula1>FIND(".",K36,FIND("@",K36))&lt;=LEN(K36)</formula1>
    </dataValidation>
    <dataValidation type="custom" allowBlank="1" showInputMessage="1" showErrorMessage="1" sqref="F27:F1048576 F5:F6 F8:F12 F14:F22 F24">
      <formula1>OR(AND(ISNUMBER(F5),LEN(F5)=9,LEFT(F5,1)="5"),AND(ISNUMBER(F5),LEN(F5)=7,LEFT(F5,1)="2"))</formula1>
    </dataValidation>
    <dataValidation type="list" allowBlank="1" showInputMessage="1" showErrorMessage="1" sqref="E27:E1048576 E5:E6 E8:E12 E14:E22 E24">
      <formula1>თანამდებობები</formula1>
    </dataValidation>
    <dataValidation type="custom" allowBlank="1" showInputMessage="1" showErrorMessage="1" errorTitle="შეცდომა" error="მონაცემი უნდა იყოს ტექსტური ტიპის" sqref="D27:D1048576 D5:D6 D8:D12 D14:D22 D24">
      <formula1>ISTEXT(D5)</formula1>
    </dataValidation>
    <dataValidation type="custom" allowBlank="1" showInputMessage="1" showErrorMessage="1" errorTitle="შეცდომა" error="ველი უნდა იყოს ტექსტური ტიპის_x000a_" sqref="C27:C1048576 C5:C6 C8:C12 C14:C22 C24">
      <formula1>ISTEXT(C5)</formula1>
    </dataValidation>
    <dataValidation type="custom" allowBlank="1" showInputMessage="1" showErrorMessage="1" sqref="B27:B1048576 B5:B6 B8:B12 B14:B22 B24">
      <formula1>AND(ISNUMBER(VALUE(B5)),MATCH(B5,თანამშრომლის_კოდი,0)&gt;=ROW()-4)</formula1>
    </dataValidation>
  </dataValidations>
  <hyperlinks>
    <hyperlink ref="G5" r:id="rId2"/>
    <hyperlink ref="G6" r:id="rId3"/>
    <hyperlink ref="G8" r:id="rId4"/>
    <hyperlink ref="G9" r:id="rId5"/>
    <hyperlink ref="G10" r:id="rId6"/>
    <hyperlink ref="G11" r:id="rId7"/>
    <hyperlink ref="G12" r:id="rId8"/>
    <hyperlink ref="G14" r:id="rId9"/>
    <hyperlink ref="G15" r:id="rId10"/>
    <hyperlink ref="G16" r:id="rId11"/>
    <hyperlink ref="G17" r:id="rId12"/>
    <hyperlink ref="G18" r:id="rId13"/>
    <hyperlink ref="G19" r:id="rId14"/>
    <hyperlink ref="G20" r:id="rId15"/>
    <hyperlink ref="G21" r:id="rId16"/>
    <hyperlink ref="G22" r:id="rId17"/>
    <hyperlink ref="G24" r:id="rId18"/>
  </hyperlinks>
  <pageMargins left="0.7" right="0.7" top="0.75" bottom="0.75" header="0.3" footer="0.3"/>
  <drawing r:id="rId19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9"/>
  <sheetViews>
    <sheetView topLeftCell="A88" workbookViewId="0">
      <selection activeCell="E98" sqref="E98"/>
    </sheetView>
  </sheetViews>
  <sheetFormatPr defaultRowHeight="15" x14ac:dyDescent="0.25"/>
  <cols>
    <col min="2" max="2" width="19.375" style="26" bestFit="1" customWidth="1"/>
    <col min="3" max="3" width="23.5" style="26" bestFit="1" customWidth="1"/>
    <col min="4" max="4" width="23.125" style="26" customWidth="1"/>
    <col min="5" max="5" width="31.75" style="26" customWidth="1"/>
    <col min="6" max="8" width="15.25" style="26" customWidth="1"/>
    <col min="9" max="9" width="9" style="26"/>
    <col min="10" max="10" width="11" style="26" bestFit="1" customWidth="1"/>
    <col min="11" max="11" width="9" style="26"/>
    <col min="12" max="12" width="17.5" style="26" bestFit="1" customWidth="1"/>
    <col min="13" max="13" width="24" style="26" bestFit="1" customWidth="1"/>
    <col min="14" max="14" width="20.25" style="26" bestFit="1" customWidth="1"/>
    <col min="15" max="15" width="19.5" style="26" bestFit="1" customWidth="1"/>
    <col min="16" max="16384" width="9" style="26"/>
  </cols>
  <sheetData>
    <row r="1" spans="2:14" customFormat="1" x14ac:dyDescent="0.25"/>
    <row r="2" spans="2:14" customFormat="1" x14ac:dyDescent="0.25"/>
    <row r="3" spans="2:14" customFormat="1" x14ac:dyDescent="0.25"/>
    <row r="4" spans="2:14" customFormat="1" ht="60" x14ac:dyDescent="0.25">
      <c r="B4" s="21" t="s">
        <v>77</v>
      </c>
      <c r="C4" s="9" t="s">
        <v>78</v>
      </c>
      <c r="D4" s="21" t="s">
        <v>80</v>
      </c>
      <c r="E4" s="9" t="s">
        <v>79</v>
      </c>
      <c r="F4" s="21" t="s">
        <v>159</v>
      </c>
      <c r="G4" s="9" t="s">
        <v>81</v>
      </c>
      <c r="H4" s="9" t="s">
        <v>82</v>
      </c>
      <c r="I4" s="9" t="s">
        <v>161</v>
      </c>
      <c r="J4" s="21" t="s">
        <v>201</v>
      </c>
      <c r="M4" t="s">
        <v>114</v>
      </c>
      <c r="N4" t="s">
        <v>158</v>
      </c>
    </row>
    <row r="5" spans="2:14" customFormat="1" x14ac:dyDescent="0.25">
      <c r="B5" s="2" t="s">
        <v>124</v>
      </c>
      <c r="C5" t="s">
        <v>117</v>
      </c>
      <c r="D5" t="s">
        <v>140</v>
      </c>
      <c r="E5" t="s">
        <v>141</v>
      </c>
      <c r="F5">
        <v>200</v>
      </c>
      <c r="G5">
        <v>700</v>
      </c>
      <c r="H5">
        <v>15</v>
      </c>
      <c r="I5">
        <f>G5*H5-F5*H5</f>
        <v>7500</v>
      </c>
      <c r="J5" t="b">
        <f>OR(C5="ტელეფონები",C5="ციფრული ტექნიკა")</f>
        <v>0</v>
      </c>
      <c r="M5" t="s">
        <v>115</v>
      </c>
      <c r="N5" t="s">
        <v>136</v>
      </c>
    </row>
    <row r="6" spans="2:14" customFormat="1" x14ac:dyDescent="0.25">
      <c r="B6" s="2" t="s">
        <v>126</v>
      </c>
      <c r="C6" t="s">
        <v>117</v>
      </c>
      <c r="D6" t="s">
        <v>143</v>
      </c>
      <c r="E6" t="s">
        <v>136</v>
      </c>
      <c r="F6">
        <v>150</v>
      </c>
      <c r="G6">
        <v>200</v>
      </c>
      <c r="H6">
        <v>20</v>
      </c>
      <c r="I6">
        <f t="shared" ref="I6:I19" si="0">G6*H6-F6*H6</f>
        <v>1000</v>
      </c>
      <c r="J6" t="b">
        <f t="shared" ref="J6:J19" si="1">OR(C6="ტელეფონები",C6="ციფრული ტექნიკა")</f>
        <v>0</v>
      </c>
      <c r="M6" t="s">
        <v>116</v>
      </c>
      <c r="N6" s="7" t="s">
        <v>138</v>
      </c>
    </row>
    <row r="7" spans="2:14" customFormat="1" x14ac:dyDescent="0.25">
      <c r="B7" s="2" t="s">
        <v>125</v>
      </c>
      <c r="C7" t="s">
        <v>117</v>
      </c>
      <c r="D7" t="s">
        <v>142</v>
      </c>
      <c r="E7" t="s">
        <v>136</v>
      </c>
      <c r="F7">
        <v>110</v>
      </c>
      <c r="G7">
        <v>450</v>
      </c>
      <c r="H7">
        <v>12</v>
      </c>
      <c r="I7">
        <f t="shared" si="0"/>
        <v>4080</v>
      </c>
      <c r="J7" t="b">
        <f t="shared" si="1"/>
        <v>0</v>
      </c>
      <c r="M7" t="s">
        <v>117</v>
      </c>
      <c r="N7" t="s">
        <v>155</v>
      </c>
    </row>
    <row r="8" spans="2:14" customFormat="1" x14ac:dyDescent="0.25">
      <c r="B8" s="2" t="s">
        <v>127</v>
      </c>
      <c r="C8" t="s">
        <v>117</v>
      </c>
      <c r="D8" t="s">
        <v>144</v>
      </c>
      <c r="E8" t="s">
        <v>145</v>
      </c>
      <c r="F8">
        <v>15</v>
      </c>
      <c r="G8">
        <v>350</v>
      </c>
      <c r="H8">
        <v>9</v>
      </c>
      <c r="I8">
        <f t="shared" si="0"/>
        <v>3015</v>
      </c>
      <c r="J8" t="b">
        <f t="shared" si="1"/>
        <v>0</v>
      </c>
      <c r="M8" t="s">
        <v>118</v>
      </c>
      <c r="N8" t="s">
        <v>141</v>
      </c>
    </row>
    <row r="9" spans="2:14" customFormat="1" x14ac:dyDescent="0.25">
      <c r="B9" s="2" t="s">
        <v>121</v>
      </c>
      <c r="C9" t="s">
        <v>115</v>
      </c>
      <c r="D9" t="s">
        <v>135</v>
      </c>
      <c r="E9" t="s">
        <v>136</v>
      </c>
      <c r="F9">
        <v>1000</v>
      </c>
      <c r="G9">
        <v>1545</v>
      </c>
      <c r="H9">
        <v>10</v>
      </c>
      <c r="I9">
        <f t="shared" si="0"/>
        <v>5450</v>
      </c>
      <c r="J9" t="b">
        <f t="shared" si="1"/>
        <v>0</v>
      </c>
      <c r="M9" t="s">
        <v>119</v>
      </c>
      <c r="N9" t="s">
        <v>145</v>
      </c>
    </row>
    <row r="10" spans="2:14" customFormat="1" x14ac:dyDescent="0.25">
      <c r="B10" s="2" t="s">
        <v>122</v>
      </c>
      <c r="C10" t="s">
        <v>115</v>
      </c>
      <c r="D10" t="s">
        <v>137</v>
      </c>
      <c r="E10" s="7" t="s">
        <v>138</v>
      </c>
      <c r="F10" s="7">
        <v>350</v>
      </c>
      <c r="G10">
        <v>600</v>
      </c>
      <c r="H10">
        <v>5</v>
      </c>
      <c r="I10">
        <f t="shared" si="0"/>
        <v>1250</v>
      </c>
      <c r="J10" t="b">
        <f t="shared" si="1"/>
        <v>0</v>
      </c>
      <c r="M10" t="s">
        <v>120</v>
      </c>
      <c r="N10" t="s">
        <v>156</v>
      </c>
    </row>
    <row r="11" spans="2:14" customFormat="1" x14ac:dyDescent="0.25">
      <c r="B11" s="2" t="s">
        <v>123</v>
      </c>
      <c r="C11" t="s">
        <v>116</v>
      </c>
      <c r="D11" t="s">
        <v>139</v>
      </c>
      <c r="E11" t="s">
        <v>155</v>
      </c>
      <c r="F11">
        <v>2100</v>
      </c>
      <c r="G11">
        <v>3000</v>
      </c>
      <c r="H11">
        <v>3</v>
      </c>
      <c r="I11">
        <f t="shared" si="0"/>
        <v>2700</v>
      </c>
      <c r="J11" t="b">
        <f t="shared" si="1"/>
        <v>0</v>
      </c>
      <c r="N11" t="s">
        <v>147</v>
      </c>
    </row>
    <row r="12" spans="2:14" customFormat="1" x14ac:dyDescent="0.25">
      <c r="B12" s="2" t="s">
        <v>133</v>
      </c>
      <c r="C12" t="s">
        <v>118</v>
      </c>
      <c r="D12" t="s">
        <v>151</v>
      </c>
      <c r="E12" t="s">
        <v>153</v>
      </c>
      <c r="F12">
        <v>1000</v>
      </c>
      <c r="G12">
        <v>1300</v>
      </c>
      <c r="H12">
        <v>22</v>
      </c>
      <c r="I12">
        <f t="shared" si="0"/>
        <v>6600</v>
      </c>
      <c r="J12" t="b">
        <f t="shared" si="1"/>
        <v>1</v>
      </c>
      <c r="N12" t="s">
        <v>157</v>
      </c>
    </row>
    <row r="13" spans="2:14" customFormat="1" x14ac:dyDescent="0.25">
      <c r="B13" s="2" t="s">
        <v>129</v>
      </c>
      <c r="C13" t="s">
        <v>118</v>
      </c>
      <c r="D13" t="s">
        <v>146</v>
      </c>
      <c r="E13" t="s">
        <v>147</v>
      </c>
      <c r="F13">
        <v>30</v>
      </c>
      <c r="G13">
        <v>50</v>
      </c>
      <c r="H13">
        <v>12</v>
      </c>
      <c r="I13">
        <f t="shared" si="0"/>
        <v>240</v>
      </c>
      <c r="J13" t="b">
        <f t="shared" si="1"/>
        <v>1</v>
      </c>
      <c r="N13" t="s">
        <v>154</v>
      </c>
    </row>
    <row r="14" spans="2:14" customFormat="1" x14ac:dyDescent="0.25">
      <c r="B14" s="2" t="s">
        <v>130</v>
      </c>
      <c r="C14" t="s">
        <v>118</v>
      </c>
      <c r="D14" t="s">
        <v>148</v>
      </c>
      <c r="E14" t="s">
        <v>157</v>
      </c>
      <c r="F14">
        <v>750</v>
      </c>
      <c r="G14">
        <v>1350</v>
      </c>
      <c r="H14">
        <v>25</v>
      </c>
      <c r="I14">
        <f t="shared" si="0"/>
        <v>15000</v>
      </c>
      <c r="J14" t="b">
        <f t="shared" si="1"/>
        <v>1</v>
      </c>
      <c r="N14" t="s">
        <v>153</v>
      </c>
    </row>
    <row r="15" spans="2:14" customFormat="1" x14ac:dyDescent="0.25">
      <c r="B15" s="2" t="s">
        <v>132</v>
      </c>
      <c r="C15" t="s">
        <v>118</v>
      </c>
      <c r="D15" s="22" t="s">
        <v>150</v>
      </c>
      <c r="E15" t="s">
        <v>154</v>
      </c>
      <c r="F15">
        <v>200</v>
      </c>
      <c r="G15">
        <v>400</v>
      </c>
      <c r="H15">
        <v>15</v>
      </c>
      <c r="I15">
        <f t="shared" si="0"/>
        <v>3000</v>
      </c>
      <c r="J15" t="b">
        <f t="shared" si="1"/>
        <v>1</v>
      </c>
    </row>
    <row r="16" spans="2:14" customFormat="1" ht="15.75" thickBot="1" x14ac:dyDescent="0.3">
      <c r="B16" s="2" t="s">
        <v>131</v>
      </c>
      <c r="C16" t="s">
        <v>118</v>
      </c>
      <c r="D16" s="23" t="s">
        <v>149</v>
      </c>
      <c r="E16" t="s">
        <v>136</v>
      </c>
      <c r="F16">
        <v>190</v>
      </c>
      <c r="G16">
        <v>1100</v>
      </c>
      <c r="H16">
        <v>20</v>
      </c>
      <c r="I16">
        <f t="shared" si="0"/>
        <v>18200</v>
      </c>
      <c r="J16" t="b">
        <f t="shared" si="1"/>
        <v>1</v>
      </c>
    </row>
    <row r="17" spans="2:10" customFormat="1" x14ac:dyDescent="0.25">
      <c r="B17" s="2" t="s">
        <v>128</v>
      </c>
      <c r="C17" t="s">
        <v>118</v>
      </c>
      <c r="D17" t="s">
        <v>146</v>
      </c>
      <c r="E17" t="s">
        <v>156</v>
      </c>
      <c r="F17">
        <v>20</v>
      </c>
      <c r="G17">
        <v>35</v>
      </c>
      <c r="H17">
        <v>10</v>
      </c>
      <c r="I17">
        <f t="shared" si="0"/>
        <v>150</v>
      </c>
      <c r="J17" t="b">
        <f t="shared" si="1"/>
        <v>1</v>
      </c>
    </row>
    <row r="18" spans="2:10" customFormat="1" x14ac:dyDescent="0.25">
      <c r="B18" s="2" t="s">
        <v>178</v>
      </c>
      <c r="C18" t="s">
        <v>119</v>
      </c>
      <c r="D18" t="s">
        <v>179</v>
      </c>
      <c r="E18" t="s">
        <v>155</v>
      </c>
      <c r="F18">
        <v>600</v>
      </c>
      <c r="G18">
        <v>800</v>
      </c>
      <c r="H18">
        <v>7</v>
      </c>
      <c r="I18">
        <f t="shared" si="0"/>
        <v>1400</v>
      </c>
      <c r="J18" t="b">
        <f t="shared" si="1"/>
        <v>1</v>
      </c>
    </row>
    <row r="19" spans="2:10" customFormat="1" x14ac:dyDescent="0.25">
      <c r="B19" s="2" t="s">
        <v>134</v>
      </c>
      <c r="C19" t="s">
        <v>119</v>
      </c>
      <c r="D19" t="s">
        <v>152</v>
      </c>
      <c r="E19" t="s">
        <v>155</v>
      </c>
      <c r="F19">
        <v>350</v>
      </c>
      <c r="G19">
        <v>500</v>
      </c>
      <c r="H19">
        <v>5</v>
      </c>
      <c r="I19">
        <f t="shared" si="0"/>
        <v>750</v>
      </c>
      <c r="J19" t="b">
        <f t="shared" si="1"/>
        <v>1</v>
      </c>
    </row>
    <row r="20" spans="2:10" customFormat="1" x14ac:dyDescent="0.25">
      <c r="B20" s="2"/>
    </row>
    <row r="21" spans="2:10" customFormat="1" x14ac:dyDescent="0.25">
      <c r="B21" s="2"/>
    </row>
    <row r="22" spans="2:10" customFormat="1" x14ac:dyDescent="0.25">
      <c r="B22" s="2"/>
    </row>
    <row r="23" spans="2:10" customFormat="1" ht="30" x14ac:dyDescent="0.25">
      <c r="B23" s="21" t="s">
        <v>77</v>
      </c>
      <c r="C23" s="9" t="s">
        <v>78</v>
      </c>
      <c r="D23" s="21" t="s">
        <v>80</v>
      </c>
      <c r="E23" s="9" t="s">
        <v>79</v>
      </c>
      <c r="F23" s="21" t="s">
        <v>159</v>
      </c>
      <c r="G23" s="9" t="s">
        <v>81</v>
      </c>
      <c r="H23" s="9" t="s">
        <v>82</v>
      </c>
      <c r="I23" s="9" t="s">
        <v>161</v>
      </c>
    </row>
    <row r="24" spans="2:10" customFormat="1" x14ac:dyDescent="0.25">
      <c r="B24" s="2"/>
      <c r="C24" t="s">
        <v>115</v>
      </c>
      <c r="H24" t="s">
        <v>199</v>
      </c>
      <c r="I24" t="s">
        <v>198</v>
      </c>
    </row>
    <row r="25" spans="2:10" customFormat="1" x14ac:dyDescent="0.25">
      <c r="B25" s="2"/>
    </row>
    <row r="26" spans="2:10" customFormat="1" x14ac:dyDescent="0.25">
      <c r="B26" s="2"/>
    </row>
    <row r="27" spans="2:10" x14ac:dyDescent="0.25">
      <c r="B27" s="26">
        <f>DSUM(B4:I19,I4,B23:I24)</f>
        <v>5450</v>
      </c>
    </row>
    <row r="31" spans="2:10" x14ac:dyDescent="0.25">
      <c r="E31" s="26" t="s">
        <v>200</v>
      </c>
      <c r="F31" s="26">
        <f>IFERROR(SUMIFS(I5:I19,C5:C19,"ტელეფონები",H5:H19,"&gt;=5",F5:F19,"&lt;1000"),"ასეთი მონაცემები არ მოიძებნა")</f>
        <v>36590</v>
      </c>
    </row>
    <row r="38" spans="4:7" x14ac:dyDescent="0.25">
      <c r="F38" s="26">
        <f>COUNTIFS(G5:G19,"&gt;=500",J5:J19,"=TRUE")</f>
        <v>5</v>
      </c>
      <c r="G38" s="26" t="s">
        <v>202</v>
      </c>
    </row>
    <row r="40" spans="4:7" x14ac:dyDescent="0.25">
      <c r="E40" s="26">
        <f>IF(SUMIFS(H5:H19,G5:G19,"&gt;=500",J5:J19,"=TRUE")&gt;30,SUMIFS(I5:I19,G5:G19,"&gt;=500",J5:J19,"=TRUE")+SUMIFS(I5:I19,G5:G19,"&gt;=500",J5:J19,"=TRUE")*0.3,IFERROR(SUMIFS(I5:I19,G5:G19,"&gt;=500",J5:J19,"=TRUE"),"ასეთი მონაცემები არ მოიძებნა"))</f>
        <v>54535</v>
      </c>
    </row>
    <row r="46" spans="4:7" x14ac:dyDescent="0.25">
      <c r="D46" s="31">
        <f t="shared" ref="D46:F53" ca="1" si="2">RAND()</f>
        <v>0.76619107580377233</v>
      </c>
      <c r="E46" s="31">
        <f t="shared" ca="1" si="2"/>
        <v>1.8728986571149409E-2</v>
      </c>
      <c r="F46" s="31">
        <f t="shared" ca="1" si="2"/>
        <v>6.7042805751974965E-2</v>
      </c>
    </row>
    <row r="47" spans="4:7" x14ac:dyDescent="0.25">
      <c r="D47" s="31">
        <f t="shared" ca="1" si="2"/>
        <v>0.51367802654827022</v>
      </c>
      <c r="E47" s="31">
        <f t="shared" ca="1" si="2"/>
        <v>0.64091226570608728</v>
      </c>
      <c r="F47" s="31">
        <f t="shared" ca="1" si="2"/>
        <v>0.70526644672714756</v>
      </c>
    </row>
    <row r="48" spans="4:7" x14ac:dyDescent="0.25">
      <c r="D48" s="31">
        <f t="shared" ca="1" si="2"/>
        <v>1.8467680873852865E-2</v>
      </c>
      <c r="E48" s="31">
        <f t="shared" ca="1" si="2"/>
        <v>0.70093302817234049</v>
      </c>
      <c r="F48" s="31">
        <f t="shared" ca="1" si="2"/>
        <v>0.75531223759569066</v>
      </c>
    </row>
    <row r="49" spans="4:6" x14ac:dyDescent="0.25">
      <c r="D49" s="31">
        <f t="shared" ca="1" si="2"/>
        <v>0.34764024479184419</v>
      </c>
      <c r="E49" s="31">
        <f t="shared" ca="1" si="2"/>
        <v>0.11672745529630335</v>
      </c>
      <c r="F49" s="31">
        <f t="shared" ca="1" si="2"/>
        <v>0.10916868456827411</v>
      </c>
    </row>
    <row r="50" spans="4:6" x14ac:dyDescent="0.25">
      <c r="D50" s="31">
        <f t="shared" ca="1" si="2"/>
        <v>0.50826857314427165</v>
      </c>
      <c r="E50" s="31">
        <f t="shared" ca="1" si="2"/>
        <v>0.80824143126603054</v>
      </c>
      <c r="F50" s="31">
        <f t="shared" ca="1" si="2"/>
        <v>0.39309627509745071</v>
      </c>
    </row>
    <row r="51" spans="4:6" x14ac:dyDescent="0.25">
      <c r="D51" s="31">
        <f t="shared" ca="1" si="2"/>
        <v>7.2637289660380189E-2</v>
      </c>
      <c r="E51" s="31">
        <f t="shared" ca="1" si="2"/>
        <v>0.96859684041329697</v>
      </c>
      <c r="F51" s="31">
        <f t="shared" ca="1" si="2"/>
        <v>0.84810707567686094</v>
      </c>
    </row>
    <row r="52" spans="4:6" x14ac:dyDescent="0.25">
      <c r="D52" s="31">
        <f t="shared" ca="1" si="2"/>
        <v>0.70296083358344208</v>
      </c>
      <c r="E52" s="31">
        <f t="shared" ca="1" si="2"/>
        <v>0.98214426924973752</v>
      </c>
      <c r="F52" s="31">
        <f t="shared" ca="1" si="2"/>
        <v>0.80116645239279383</v>
      </c>
    </row>
    <row r="53" spans="4:6" x14ac:dyDescent="0.25">
      <c r="D53" s="31">
        <f t="shared" ca="1" si="2"/>
        <v>0.98563603078983675</v>
      </c>
      <c r="E53" s="31">
        <f t="shared" ca="1" si="2"/>
        <v>0.11303920520073274</v>
      </c>
      <c r="F53" s="31">
        <f t="shared" ca="1" si="2"/>
        <v>0.19969767757408685</v>
      </c>
    </row>
    <row r="56" spans="4:6" x14ac:dyDescent="0.25">
      <c r="E56" s="31">
        <f ca="1">ROUNDUP(ROUND(D46,2)*10,0)</f>
        <v>8</v>
      </c>
    </row>
    <row r="57" spans="4:6" x14ac:dyDescent="0.25">
      <c r="E57" s="31">
        <f t="shared" ref="E57:E63" ca="1" si="3">ROUNDUP(ROUND(D47,2)*10,0)</f>
        <v>6</v>
      </c>
    </row>
    <row r="58" spans="4:6" x14ac:dyDescent="0.25">
      <c r="E58" s="31">
        <f t="shared" ca="1" si="3"/>
        <v>1</v>
      </c>
    </row>
    <row r="59" spans="4:6" x14ac:dyDescent="0.25">
      <c r="E59" s="31">
        <f t="shared" ca="1" si="3"/>
        <v>4</v>
      </c>
    </row>
    <row r="60" spans="4:6" x14ac:dyDescent="0.25">
      <c r="E60" s="31">
        <f t="shared" ca="1" si="3"/>
        <v>6</v>
      </c>
    </row>
    <row r="61" spans="4:6" x14ac:dyDescent="0.25">
      <c r="E61" s="31">
        <f t="shared" ca="1" si="3"/>
        <v>1</v>
      </c>
    </row>
    <row r="62" spans="4:6" x14ac:dyDescent="0.25">
      <c r="E62" s="31">
        <f t="shared" ca="1" si="3"/>
        <v>7</v>
      </c>
    </row>
    <row r="63" spans="4:6" x14ac:dyDescent="0.25">
      <c r="E63" s="31">
        <f t="shared" ca="1" si="3"/>
        <v>10</v>
      </c>
    </row>
    <row r="67" spans="4:5" x14ac:dyDescent="0.25">
      <c r="D67" s="31">
        <f>IFERROR(ROUNDDOWN(AVERAGEIF(E5:E19,"SAMSUNG",I5:I19),0),"ასეთი მონაცემები არ მოიძებნა")</f>
        <v>7182</v>
      </c>
    </row>
    <row r="73" spans="4:5" x14ac:dyDescent="0.25">
      <c r="D73" s="26" t="s">
        <v>203</v>
      </c>
      <c r="E73" s="26">
        <v>13</v>
      </c>
    </row>
    <row r="74" spans="4:5" x14ac:dyDescent="0.25">
      <c r="D74" s="26" t="s">
        <v>160</v>
      </c>
      <c r="E74" s="26">
        <v>12</v>
      </c>
    </row>
    <row r="75" spans="4:5" x14ac:dyDescent="0.25">
      <c r="D75" s="26" t="s">
        <v>204</v>
      </c>
      <c r="E75" s="26">
        <v>2014</v>
      </c>
    </row>
    <row r="76" spans="4:5" x14ac:dyDescent="0.25">
      <c r="D76" s="26" t="s">
        <v>205</v>
      </c>
      <c r="E76" s="33">
        <f>DATE(E75,E74,E73)</f>
        <v>41986</v>
      </c>
    </row>
    <row r="81" spans="3:6" x14ac:dyDescent="0.25">
      <c r="E81" s="31">
        <f>DATEVALUE("12.12.2014")</f>
        <v>41985</v>
      </c>
    </row>
    <row r="86" spans="3:6" x14ac:dyDescent="0.25">
      <c r="C86" s="26">
        <f ca="1">YEAR(TODAY())</f>
        <v>2014</v>
      </c>
    </row>
    <row r="87" spans="3:6" x14ac:dyDescent="0.25">
      <c r="C87" s="26">
        <f ca="1">MONTH(TODAY())</f>
        <v>12</v>
      </c>
    </row>
    <row r="88" spans="3:6" x14ac:dyDescent="0.25">
      <c r="C88" s="26">
        <f ca="1">DAY(TODAY())</f>
        <v>26</v>
      </c>
    </row>
    <row r="91" spans="3:6" x14ac:dyDescent="0.25">
      <c r="D91" s="26" t="s">
        <v>205</v>
      </c>
      <c r="E91" s="26" t="s">
        <v>206</v>
      </c>
      <c r="F91" s="26" t="s">
        <v>207</v>
      </c>
    </row>
    <row r="92" spans="3:6" x14ac:dyDescent="0.25">
      <c r="D92" s="32">
        <v>42005</v>
      </c>
      <c r="E92" s="26">
        <f>WEEKDAY(D92,2)</f>
        <v>4</v>
      </c>
      <c r="F92" s="26" t="str">
        <f>CHOOSE(E92,"ორშაბათი","სამშაბათი","ოთხშაბათი","ხუთშაბათი","პარასკევი","შაბათი","კვირა")</f>
        <v>ხუთშაბათი</v>
      </c>
    </row>
    <row r="93" spans="3:6" x14ac:dyDescent="0.25">
      <c r="D93" s="32">
        <v>42006</v>
      </c>
      <c r="E93" s="26">
        <f t="shared" ref="E93:E101" si="4">WEEKDAY(D93,2)</f>
        <v>5</v>
      </c>
      <c r="F93" s="26" t="str">
        <f t="shared" ref="F93:F101" si="5">CHOOSE(E93,"ორშაბათი","სამშაბათი","ოთხშაბათი","ხუთშაბათი","პარასკევი","შაბათი","კვირა")</f>
        <v>პარასკევი</v>
      </c>
    </row>
    <row r="94" spans="3:6" x14ac:dyDescent="0.25">
      <c r="D94" s="32">
        <v>42007</v>
      </c>
      <c r="E94" s="26">
        <f t="shared" si="4"/>
        <v>6</v>
      </c>
      <c r="F94" s="26" t="str">
        <f t="shared" si="5"/>
        <v>შაბათი</v>
      </c>
    </row>
    <row r="95" spans="3:6" x14ac:dyDescent="0.25">
      <c r="D95" s="32">
        <v>42008</v>
      </c>
      <c r="E95" s="26">
        <f t="shared" si="4"/>
        <v>7</v>
      </c>
      <c r="F95" s="26" t="str">
        <f t="shared" si="5"/>
        <v>კვირა</v>
      </c>
    </row>
    <row r="96" spans="3:6" x14ac:dyDescent="0.25">
      <c r="D96" s="32">
        <v>42009</v>
      </c>
      <c r="E96" s="26">
        <f t="shared" si="4"/>
        <v>1</v>
      </c>
      <c r="F96" s="26" t="str">
        <f t="shared" si="5"/>
        <v>ორშაბათი</v>
      </c>
    </row>
    <row r="97" spans="4:6" x14ac:dyDescent="0.25">
      <c r="D97" s="32">
        <v>42010</v>
      </c>
      <c r="E97" s="26">
        <f t="shared" si="4"/>
        <v>2</v>
      </c>
      <c r="F97" s="26" t="str">
        <f t="shared" si="5"/>
        <v>სამშაბათი</v>
      </c>
    </row>
    <row r="98" spans="4:6" x14ac:dyDescent="0.25">
      <c r="D98" s="32">
        <v>42011</v>
      </c>
      <c r="E98" s="26">
        <f t="shared" si="4"/>
        <v>3</v>
      </c>
      <c r="F98" s="26" t="str">
        <f t="shared" si="5"/>
        <v>ოთხშაბათი</v>
      </c>
    </row>
    <row r="99" spans="4:6" x14ac:dyDescent="0.25">
      <c r="D99" s="32">
        <v>42012</v>
      </c>
      <c r="E99" s="26">
        <f t="shared" si="4"/>
        <v>4</v>
      </c>
      <c r="F99" s="26" t="str">
        <f t="shared" si="5"/>
        <v>ხუთშაბათი</v>
      </c>
    </row>
    <row r="100" spans="4:6" x14ac:dyDescent="0.25">
      <c r="D100" s="32">
        <v>42013</v>
      </c>
      <c r="E100" s="26">
        <f t="shared" si="4"/>
        <v>5</v>
      </c>
      <c r="F100" s="26" t="str">
        <f t="shared" si="5"/>
        <v>პარასკევი</v>
      </c>
    </row>
    <row r="101" spans="4:6" x14ac:dyDescent="0.25">
      <c r="D101" s="32">
        <v>42014</v>
      </c>
      <c r="E101" s="26">
        <f t="shared" si="4"/>
        <v>6</v>
      </c>
      <c r="F101" s="26" t="str">
        <f t="shared" si="5"/>
        <v>შაბათი</v>
      </c>
    </row>
    <row r="104" spans="4:6" x14ac:dyDescent="0.25">
      <c r="D104" s="26" t="s">
        <v>208</v>
      </c>
      <c r="E104" s="32">
        <v>42066</v>
      </c>
      <c r="F104" s="32">
        <v>42071</v>
      </c>
    </row>
    <row r="105" spans="4:6" x14ac:dyDescent="0.25">
      <c r="D105" s="26" t="s">
        <v>209</v>
      </c>
      <c r="E105" s="32">
        <v>42064</v>
      </c>
    </row>
    <row r="106" spans="4:6" x14ac:dyDescent="0.25">
      <c r="D106" s="26" t="s">
        <v>210</v>
      </c>
      <c r="E106" s="32">
        <v>42094</v>
      </c>
    </row>
    <row r="108" spans="4:6" x14ac:dyDescent="0.25">
      <c r="D108" s="31">
        <f>NETWORKDAYS(E105,E106,E104:F104)</f>
        <v>21</v>
      </c>
    </row>
    <row r="111" spans="4:6" x14ac:dyDescent="0.25">
      <c r="D111" s="26" t="s">
        <v>209</v>
      </c>
      <c r="E111" s="32">
        <v>42190</v>
      </c>
    </row>
    <row r="112" spans="4:6" x14ac:dyDescent="0.25">
      <c r="D112" s="26" t="s">
        <v>210</v>
      </c>
      <c r="E112" s="32">
        <v>42353</v>
      </c>
    </row>
    <row r="113" spans="4:8" x14ac:dyDescent="0.25">
      <c r="D113" s="31">
        <f>DAYS360(E111,E112,1)</f>
        <v>160</v>
      </c>
    </row>
    <row r="118" spans="4:8" x14ac:dyDescent="0.25">
      <c r="D118" s="35">
        <f ca="1">NOW()</f>
        <v>41999.102523611109</v>
      </c>
    </row>
    <row r="120" spans="4:8" x14ac:dyDescent="0.25">
      <c r="D120" s="26">
        <f ca="1">MINUTE(D118)</f>
        <v>27</v>
      </c>
      <c r="E120" s="26" t="s">
        <v>211</v>
      </c>
    </row>
    <row r="121" spans="4:8" x14ac:dyDescent="0.25">
      <c r="D121" s="26">
        <f ca="1">HOUR(D118)</f>
        <v>2</v>
      </c>
      <c r="E121" s="26" t="s">
        <v>212</v>
      </c>
      <c r="H121" s="34">
        <f ca="1">TIME(D121,D120,D122)</f>
        <v>0.10252314814814815</v>
      </c>
    </row>
    <row r="122" spans="4:8" x14ac:dyDescent="0.25">
      <c r="D122" s="26">
        <f ca="1">SECOND(D118)</f>
        <v>38</v>
      </c>
      <c r="E122" s="26" t="s">
        <v>213</v>
      </c>
    </row>
    <row r="127" spans="4:8" x14ac:dyDescent="0.25">
      <c r="E127" s="31" t="str">
        <f>CHAR(100)</f>
        <v>d</v>
      </c>
    </row>
    <row r="130" spans="5:6" x14ac:dyDescent="0.25">
      <c r="E130" s="26" t="s">
        <v>214</v>
      </c>
      <c r="F130" s="26" t="s">
        <v>215</v>
      </c>
    </row>
    <row r="131" spans="5:6" x14ac:dyDescent="0.25">
      <c r="E131" s="31" t="str">
        <f>CONCATENATE(E130," ",F130)</f>
        <v>კომპიუტერული მეცნიერებები</v>
      </c>
    </row>
    <row r="134" spans="5:6" x14ac:dyDescent="0.25">
      <c r="E134" s="26" t="s">
        <v>155</v>
      </c>
      <c r="F134" s="26" t="s">
        <v>216</v>
      </c>
    </row>
    <row r="135" spans="5:6" x14ac:dyDescent="0.25">
      <c r="E135" s="31" t="b">
        <f>EXACT(E134,F134)</f>
        <v>0</v>
      </c>
    </row>
    <row r="138" spans="5:6" x14ac:dyDescent="0.25">
      <c r="E138" s="26">
        <f>FIND("მეცნ",E131,1)</f>
        <v>14</v>
      </c>
    </row>
    <row r="143" spans="5:6" x14ac:dyDescent="0.25">
      <c r="E143" s="26" t="s">
        <v>217</v>
      </c>
    </row>
    <row r="144" spans="5:6" x14ac:dyDescent="0.25">
      <c r="E144" s="26">
        <f>FIND(" ",E143,1)</f>
        <v>9</v>
      </c>
    </row>
    <row r="145" spans="4:5" x14ac:dyDescent="0.25">
      <c r="E145" s="31" t="str">
        <f>RIGHT(E143,LEN(E143)-FIND(" ",E143,1))</f>
        <v>jksa</v>
      </c>
    </row>
    <row r="150" spans="4:5" x14ac:dyDescent="0.25">
      <c r="D150" s="26" t="s">
        <v>218</v>
      </c>
    </row>
    <row r="152" spans="4:5" x14ac:dyDescent="0.25">
      <c r="D152" s="31" t="str">
        <f>SUBSTITUTE(D150,"ზუსტი და საბუნებისმეტყველო","კომპიუტერული")</f>
        <v>კომპიუტერული მეცნიერებები</v>
      </c>
    </row>
    <row r="161" spans="3:16" ht="60" x14ac:dyDescent="0.25">
      <c r="C161" s="21" t="s">
        <v>77</v>
      </c>
      <c r="D161" s="9" t="s">
        <v>78</v>
      </c>
      <c r="E161" s="21" t="s">
        <v>80</v>
      </c>
      <c r="F161" s="9" t="s">
        <v>79</v>
      </c>
      <c r="G161" s="21" t="s">
        <v>159</v>
      </c>
      <c r="H161" s="9" t="s">
        <v>81</v>
      </c>
      <c r="I161" s="9" t="s">
        <v>82</v>
      </c>
      <c r="J161" s="9" t="s">
        <v>161</v>
      </c>
      <c r="K161" s="21" t="s">
        <v>201</v>
      </c>
      <c r="L161" s="31" t="s">
        <v>219</v>
      </c>
      <c r="M161" s="31" t="s">
        <v>220</v>
      </c>
      <c r="N161" s="31" t="s">
        <v>221</v>
      </c>
      <c r="O161" s="31" t="s">
        <v>222</v>
      </c>
      <c r="P161" s="31" t="s">
        <v>223</v>
      </c>
    </row>
    <row r="162" spans="3:16" x14ac:dyDescent="0.25">
      <c r="C162" s="2" t="s">
        <v>124</v>
      </c>
      <c r="D162" t="s">
        <v>117</v>
      </c>
      <c r="E162" t="s">
        <v>140</v>
      </c>
      <c r="F162" t="s">
        <v>141</v>
      </c>
      <c r="G162">
        <v>200</v>
      </c>
      <c r="H162">
        <v>700</v>
      </c>
      <c r="I162">
        <v>15</v>
      </c>
      <c r="J162">
        <f>H162*I162-G162*I162</f>
        <v>7500</v>
      </c>
      <c r="K162" t="b">
        <f>OR(D162="ტელეფონები",D162="ციფრული ტექნიკა")</f>
        <v>0</v>
      </c>
      <c r="L162" s="26" t="b">
        <f>G162&gt;=500</f>
        <v>0</v>
      </c>
      <c r="M162" s="26" t="b">
        <f>H162&lt;=1500</f>
        <v>1</v>
      </c>
      <c r="N162" s="26" t="b">
        <f>AND(L162,M162)</f>
        <v>0</v>
      </c>
      <c r="O162" s="26" t="b">
        <f>NOT(N162)</f>
        <v>1</v>
      </c>
      <c r="P162" s="26" t="b">
        <f>OR(L162,M162)</f>
        <v>1</v>
      </c>
    </row>
    <row r="163" spans="3:16" x14ac:dyDescent="0.25">
      <c r="C163" s="2" t="s">
        <v>126</v>
      </c>
      <c r="D163" t="s">
        <v>117</v>
      </c>
      <c r="E163" t="s">
        <v>143</v>
      </c>
      <c r="F163" t="s">
        <v>136</v>
      </c>
      <c r="G163">
        <v>150</v>
      </c>
      <c r="H163">
        <v>200</v>
      </c>
      <c r="I163">
        <v>20</v>
      </c>
      <c r="J163">
        <f t="shared" ref="J163:J176" si="6">H163*I163-G163*I163</f>
        <v>1000</v>
      </c>
      <c r="K163" t="b">
        <f t="shared" ref="K163:K176" si="7">OR(D163="ტელეფონები",D163="ციფრული ტექნიკა")</f>
        <v>0</v>
      </c>
      <c r="L163" s="26" t="b">
        <f t="shared" ref="L163:L176" si="8">G163&gt;=500</f>
        <v>0</v>
      </c>
      <c r="M163" s="26" t="b">
        <f t="shared" ref="M163:M176" si="9">H163&lt;=1500</f>
        <v>1</v>
      </c>
      <c r="N163" s="26" t="b">
        <f t="shared" ref="N163:N176" si="10">AND(L163,M163)</f>
        <v>0</v>
      </c>
      <c r="O163" s="26" t="b">
        <f t="shared" ref="O163:O176" si="11">NOT(N163)</f>
        <v>1</v>
      </c>
      <c r="P163" s="26" t="b">
        <f t="shared" ref="P163:P176" si="12">OR(L163,M163)</f>
        <v>1</v>
      </c>
    </row>
    <row r="164" spans="3:16" x14ac:dyDescent="0.25">
      <c r="C164" s="2" t="s">
        <v>125</v>
      </c>
      <c r="D164" t="s">
        <v>117</v>
      </c>
      <c r="E164" t="s">
        <v>142</v>
      </c>
      <c r="F164" t="s">
        <v>136</v>
      </c>
      <c r="G164">
        <v>110</v>
      </c>
      <c r="H164">
        <v>450</v>
      </c>
      <c r="I164">
        <v>12</v>
      </c>
      <c r="J164">
        <f t="shared" si="6"/>
        <v>4080</v>
      </c>
      <c r="K164" t="b">
        <f t="shared" si="7"/>
        <v>0</v>
      </c>
      <c r="L164" s="26" t="b">
        <f t="shared" si="8"/>
        <v>0</v>
      </c>
      <c r="M164" s="26" t="b">
        <f t="shared" si="9"/>
        <v>1</v>
      </c>
      <c r="N164" s="26" t="b">
        <f t="shared" si="10"/>
        <v>0</v>
      </c>
      <c r="O164" s="26" t="b">
        <f t="shared" si="11"/>
        <v>1</v>
      </c>
      <c r="P164" s="26" t="b">
        <f t="shared" si="12"/>
        <v>1</v>
      </c>
    </row>
    <row r="165" spans="3:16" x14ac:dyDescent="0.25">
      <c r="C165" s="2" t="s">
        <v>127</v>
      </c>
      <c r="D165" t="s">
        <v>117</v>
      </c>
      <c r="E165" t="s">
        <v>144</v>
      </c>
      <c r="F165" t="s">
        <v>145</v>
      </c>
      <c r="G165">
        <v>15</v>
      </c>
      <c r="H165">
        <v>350</v>
      </c>
      <c r="I165">
        <v>9</v>
      </c>
      <c r="J165">
        <f t="shared" si="6"/>
        <v>3015</v>
      </c>
      <c r="K165" t="b">
        <f t="shared" si="7"/>
        <v>0</v>
      </c>
      <c r="L165" s="26" t="b">
        <f t="shared" si="8"/>
        <v>0</v>
      </c>
      <c r="M165" s="26" t="b">
        <f t="shared" si="9"/>
        <v>1</v>
      </c>
      <c r="N165" s="26" t="b">
        <f t="shared" si="10"/>
        <v>0</v>
      </c>
      <c r="O165" s="26" t="b">
        <f t="shared" si="11"/>
        <v>1</v>
      </c>
      <c r="P165" s="26" t="b">
        <f t="shared" si="12"/>
        <v>1</v>
      </c>
    </row>
    <row r="166" spans="3:16" x14ac:dyDescent="0.25">
      <c r="C166" s="2" t="s">
        <v>121</v>
      </c>
      <c r="D166" t="s">
        <v>115</v>
      </c>
      <c r="E166" t="s">
        <v>135</v>
      </c>
      <c r="F166" t="s">
        <v>136</v>
      </c>
      <c r="G166">
        <v>1000</v>
      </c>
      <c r="H166">
        <v>1545</v>
      </c>
      <c r="I166">
        <v>10</v>
      </c>
      <c r="J166">
        <f t="shared" si="6"/>
        <v>5450</v>
      </c>
      <c r="K166" t="b">
        <f t="shared" si="7"/>
        <v>0</v>
      </c>
      <c r="L166" s="26" t="b">
        <f t="shared" si="8"/>
        <v>1</v>
      </c>
      <c r="M166" s="26" t="b">
        <f t="shared" si="9"/>
        <v>0</v>
      </c>
      <c r="N166" s="26" t="b">
        <f t="shared" si="10"/>
        <v>0</v>
      </c>
      <c r="O166" s="26" t="b">
        <f t="shared" si="11"/>
        <v>1</v>
      </c>
      <c r="P166" s="26" t="b">
        <f t="shared" si="12"/>
        <v>1</v>
      </c>
    </row>
    <row r="167" spans="3:16" x14ac:dyDescent="0.25">
      <c r="C167" s="2" t="s">
        <v>122</v>
      </c>
      <c r="D167" t="s">
        <v>115</v>
      </c>
      <c r="E167" t="s">
        <v>137</v>
      </c>
      <c r="F167" s="7" t="s">
        <v>138</v>
      </c>
      <c r="G167" s="7">
        <v>350</v>
      </c>
      <c r="H167">
        <v>600</v>
      </c>
      <c r="I167">
        <v>5</v>
      </c>
      <c r="J167">
        <f t="shared" si="6"/>
        <v>1250</v>
      </c>
      <c r="K167" t="b">
        <f t="shared" si="7"/>
        <v>0</v>
      </c>
      <c r="L167" s="26" t="b">
        <f t="shared" si="8"/>
        <v>0</v>
      </c>
      <c r="M167" s="26" t="b">
        <f t="shared" si="9"/>
        <v>1</v>
      </c>
      <c r="N167" s="26" t="b">
        <f t="shared" si="10"/>
        <v>0</v>
      </c>
      <c r="O167" s="26" t="b">
        <f t="shared" si="11"/>
        <v>1</v>
      </c>
      <c r="P167" s="26" t="b">
        <f t="shared" si="12"/>
        <v>1</v>
      </c>
    </row>
    <row r="168" spans="3:16" x14ac:dyDescent="0.25">
      <c r="C168" s="2" t="s">
        <v>123</v>
      </c>
      <c r="D168" t="s">
        <v>116</v>
      </c>
      <c r="E168" t="s">
        <v>139</v>
      </c>
      <c r="F168" t="s">
        <v>155</v>
      </c>
      <c r="G168">
        <v>2100</v>
      </c>
      <c r="H168">
        <v>3000</v>
      </c>
      <c r="I168">
        <v>3</v>
      </c>
      <c r="J168">
        <f t="shared" si="6"/>
        <v>2700</v>
      </c>
      <c r="K168" t="b">
        <f t="shared" si="7"/>
        <v>0</v>
      </c>
      <c r="L168" s="26" t="b">
        <f t="shared" si="8"/>
        <v>1</v>
      </c>
      <c r="M168" s="26" t="b">
        <f t="shared" si="9"/>
        <v>0</v>
      </c>
      <c r="N168" s="26" t="b">
        <f t="shared" si="10"/>
        <v>0</v>
      </c>
      <c r="O168" s="26" t="b">
        <f t="shared" si="11"/>
        <v>1</v>
      </c>
      <c r="P168" s="26" t="b">
        <f t="shared" si="12"/>
        <v>1</v>
      </c>
    </row>
    <row r="169" spans="3:16" x14ac:dyDescent="0.25">
      <c r="C169" s="2" t="s">
        <v>133</v>
      </c>
      <c r="D169" t="s">
        <v>118</v>
      </c>
      <c r="E169" t="s">
        <v>151</v>
      </c>
      <c r="F169" t="s">
        <v>153</v>
      </c>
      <c r="G169">
        <v>1000</v>
      </c>
      <c r="H169">
        <v>1300</v>
      </c>
      <c r="I169">
        <v>22</v>
      </c>
      <c r="J169">
        <f t="shared" si="6"/>
        <v>6600</v>
      </c>
      <c r="K169" t="b">
        <f t="shared" si="7"/>
        <v>1</v>
      </c>
      <c r="L169" s="26" t="b">
        <f t="shared" si="8"/>
        <v>1</v>
      </c>
      <c r="M169" s="26" t="b">
        <f t="shared" si="9"/>
        <v>1</v>
      </c>
      <c r="N169" s="26" t="b">
        <f t="shared" si="10"/>
        <v>1</v>
      </c>
      <c r="O169" s="26" t="b">
        <f t="shared" si="11"/>
        <v>0</v>
      </c>
      <c r="P169" s="26" t="b">
        <f t="shared" si="12"/>
        <v>1</v>
      </c>
    </row>
    <row r="170" spans="3:16" x14ac:dyDescent="0.25">
      <c r="C170" s="2" t="s">
        <v>129</v>
      </c>
      <c r="D170" t="s">
        <v>118</v>
      </c>
      <c r="E170" t="s">
        <v>146</v>
      </c>
      <c r="F170" t="s">
        <v>147</v>
      </c>
      <c r="G170">
        <v>30</v>
      </c>
      <c r="H170">
        <v>50</v>
      </c>
      <c r="I170">
        <v>12</v>
      </c>
      <c r="J170">
        <f t="shared" si="6"/>
        <v>240</v>
      </c>
      <c r="K170" t="b">
        <f t="shared" si="7"/>
        <v>1</v>
      </c>
      <c r="L170" s="26" t="b">
        <f t="shared" si="8"/>
        <v>0</v>
      </c>
      <c r="M170" s="26" t="b">
        <f t="shared" si="9"/>
        <v>1</v>
      </c>
      <c r="N170" s="26" t="b">
        <f t="shared" si="10"/>
        <v>0</v>
      </c>
      <c r="O170" s="26" t="b">
        <f t="shared" si="11"/>
        <v>1</v>
      </c>
      <c r="P170" s="26" t="b">
        <f t="shared" si="12"/>
        <v>1</v>
      </c>
    </row>
    <row r="171" spans="3:16" x14ac:dyDescent="0.25">
      <c r="C171" s="2" t="s">
        <v>130</v>
      </c>
      <c r="D171" t="s">
        <v>118</v>
      </c>
      <c r="E171" t="s">
        <v>148</v>
      </c>
      <c r="F171" t="s">
        <v>157</v>
      </c>
      <c r="G171">
        <v>750</v>
      </c>
      <c r="H171">
        <v>1350</v>
      </c>
      <c r="I171">
        <v>25</v>
      </c>
      <c r="J171">
        <f t="shared" si="6"/>
        <v>15000</v>
      </c>
      <c r="K171" t="b">
        <f t="shared" si="7"/>
        <v>1</v>
      </c>
      <c r="L171" s="26" t="b">
        <f t="shared" si="8"/>
        <v>1</v>
      </c>
      <c r="M171" s="26" t="b">
        <f t="shared" si="9"/>
        <v>1</v>
      </c>
      <c r="N171" s="26" t="b">
        <f t="shared" si="10"/>
        <v>1</v>
      </c>
      <c r="O171" s="26" t="b">
        <f t="shared" si="11"/>
        <v>0</v>
      </c>
      <c r="P171" s="26" t="b">
        <f t="shared" si="12"/>
        <v>1</v>
      </c>
    </row>
    <row r="172" spans="3:16" x14ac:dyDescent="0.25">
      <c r="C172" s="2" t="s">
        <v>132</v>
      </c>
      <c r="D172" t="s">
        <v>118</v>
      </c>
      <c r="E172" s="22" t="s">
        <v>150</v>
      </c>
      <c r="F172" t="s">
        <v>154</v>
      </c>
      <c r="G172">
        <v>200</v>
      </c>
      <c r="H172">
        <v>400</v>
      </c>
      <c r="I172">
        <v>15</v>
      </c>
      <c r="J172">
        <f t="shared" si="6"/>
        <v>3000</v>
      </c>
      <c r="K172" t="b">
        <f t="shared" si="7"/>
        <v>1</v>
      </c>
      <c r="L172" s="26" t="b">
        <f t="shared" si="8"/>
        <v>0</v>
      </c>
      <c r="M172" s="26" t="b">
        <f t="shared" si="9"/>
        <v>1</v>
      </c>
      <c r="N172" s="26" t="b">
        <f t="shared" si="10"/>
        <v>0</v>
      </c>
      <c r="O172" s="26" t="b">
        <f t="shared" si="11"/>
        <v>1</v>
      </c>
      <c r="P172" s="26" t="b">
        <f t="shared" si="12"/>
        <v>1</v>
      </c>
    </row>
    <row r="173" spans="3:16" ht="15.75" thickBot="1" x14ac:dyDescent="0.3">
      <c r="C173" s="2" t="s">
        <v>131</v>
      </c>
      <c r="D173" t="s">
        <v>118</v>
      </c>
      <c r="E173" s="23" t="s">
        <v>149</v>
      </c>
      <c r="F173" t="s">
        <v>136</v>
      </c>
      <c r="G173">
        <v>190</v>
      </c>
      <c r="H173">
        <v>1100</v>
      </c>
      <c r="I173">
        <v>20</v>
      </c>
      <c r="J173">
        <f t="shared" si="6"/>
        <v>18200</v>
      </c>
      <c r="K173" t="b">
        <f t="shared" si="7"/>
        <v>1</v>
      </c>
      <c r="L173" s="26" t="b">
        <f t="shared" si="8"/>
        <v>0</v>
      </c>
      <c r="M173" s="26" t="b">
        <f t="shared" si="9"/>
        <v>1</v>
      </c>
      <c r="N173" s="26" t="b">
        <f t="shared" si="10"/>
        <v>0</v>
      </c>
      <c r="O173" s="26" t="b">
        <f t="shared" si="11"/>
        <v>1</v>
      </c>
      <c r="P173" s="26" t="b">
        <f t="shared" si="12"/>
        <v>1</v>
      </c>
    </row>
    <row r="174" spans="3:16" x14ac:dyDescent="0.25">
      <c r="C174" s="2" t="s">
        <v>128</v>
      </c>
      <c r="D174" t="s">
        <v>118</v>
      </c>
      <c r="E174" t="s">
        <v>146</v>
      </c>
      <c r="F174" t="s">
        <v>156</v>
      </c>
      <c r="G174">
        <v>20</v>
      </c>
      <c r="H174">
        <v>35</v>
      </c>
      <c r="I174">
        <v>10</v>
      </c>
      <c r="J174">
        <f t="shared" si="6"/>
        <v>150</v>
      </c>
      <c r="K174" t="b">
        <f t="shared" si="7"/>
        <v>1</v>
      </c>
      <c r="L174" s="26" t="b">
        <f t="shared" si="8"/>
        <v>0</v>
      </c>
      <c r="M174" s="26" t="b">
        <f t="shared" si="9"/>
        <v>1</v>
      </c>
      <c r="N174" s="26" t="b">
        <f t="shared" si="10"/>
        <v>0</v>
      </c>
      <c r="O174" s="26" t="b">
        <f t="shared" si="11"/>
        <v>1</v>
      </c>
      <c r="P174" s="26" t="b">
        <f t="shared" si="12"/>
        <v>1</v>
      </c>
    </row>
    <row r="175" spans="3:16" x14ac:dyDescent="0.25">
      <c r="C175" s="2" t="s">
        <v>178</v>
      </c>
      <c r="D175" t="s">
        <v>119</v>
      </c>
      <c r="E175" t="s">
        <v>179</v>
      </c>
      <c r="F175" t="s">
        <v>155</v>
      </c>
      <c r="G175">
        <v>600</v>
      </c>
      <c r="H175">
        <v>800</v>
      </c>
      <c r="I175">
        <v>7</v>
      </c>
      <c r="J175">
        <f t="shared" si="6"/>
        <v>1400</v>
      </c>
      <c r="K175" t="b">
        <f t="shared" si="7"/>
        <v>1</v>
      </c>
      <c r="L175" s="26" t="b">
        <f t="shared" si="8"/>
        <v>1</v>
      </c>
      <c r="M175" s="26" t="b">
        <f t="shared" si="9"/>
        <v>1</v>
      </c>
      <c r="N175" s="26" t="b">
        <f t="shared" si="10"/>
        <v>1</v>
      </c>
      <c r="O175" s="26" t="b">
        <f t="shared" si="11"/>
        <v>0</v>
      </c>
      <c r="P175" s="26" t="b">
        <f t="shared" si="12"/>
        <v>1</v>
      </c>
    </row>
    <row r="176" spans="3:16" x14ac:dyDescent="0.25">
      <c r="C176" s="2" t="s">
        <v>134</v>
      </c>
      <c r="D176" t="s">
        <v>119</v>
      </c>
      <c r="E176" t="s">
        <v>152</v>
      </c>
      <c r="F176" t="s">
        <v>155</v>
      </c>
      <c r="G176">
        <v>350</v>
      </c>
      <c r="H176">
        <v>500</v>
      </c>
      <c r="I176">
        <v>5</v>
      </c>
      <c r="J176">
        <f t="shared" si="6"/>
        <v>750</v>
      </c>
      <c r="K176" t="b">
        <f t="shared" si="7"/>
        <v>1</v>
      </c>
      <c r="L176" s="26" t="b">
        <f t="shared" si="8"/>
        <v>0</v>
      </c>
      <c r="M176" s="26" t="b">
        <f t="shared" si="9"/>
        <v>1</v>
      </c>
      <c r="N176" s="26" t="b">
        <f t="shared" si="10"/>
        <v>0</v>
      </c>
      <c r="O176" s="26" t="b">
        <f t="shared" si="11"/>
        <v>1</v>
      </c>
      <c r="P176" s="26" t="b">
        <f t="shared" si="12"/>
        <v>1</v>
      </c>
    </row>
    <row r="185" spans="2:4" x14ac:dyDescent="0.25">
      <c r="B185" s="26" t="s">
        <v>231</v>
      </c>
      <c r="C185" s="26">
        <f>ABS(-100)</f>
        <v>100</v>
      </c>
      <c r="D185" s="26" t="s">
        <v>224</v>
      </c>
    </row>
    <row r="186" spans="2:4" x14ac:dyDescent="0.25">
      <c r="B186" s="26" t="s">
        <v>232</v>
      </c>
      <c r="C186" s="26">
        <f>FACT(15)</f>
        <v>1307674368000</v>
      </c>
      <c r="D186" s="26" t="s">
        <v>225</v>
      </c>
    </row>
    <row r="187" spans="2:4" x14ac:dyDescent="0.25">
      <c r="B187" s="26" t="s">
        <v>233</v>
      </c>
      <c r="C187" s="26">
        <f>PI()</f>
        <v>3.1415926535897931</v>
      </c>
      <c r="D187" s="26" t="s">
        <v>226</v>
      </c>
    </row>
    <row r="188" spans="2:4" x14ac:dyDescent="0.25">
      <c r="B188" s="26" t="s">
        <v>234</v>
      </c>
      <c r="C188" s="26">
        <f>SQRT(81)</f>
        <v>9</v>
      </c>
      <c r="D188" s="26" t="s">
        <v>227</v>
      </c>
    </row>
    <row r="189" spans="2:4" x14ac:dyDescent="0.25">
      <c r="B189" s="26" t="s">
        <v>235</v>
      </c>
      <c r="C189" s="26">
        <f>POWER(2,3)</f>
        <v>8</v>
      </c>
      <c r="D189" s="26" t="s">
        <v>228</v>
      </c>
    </row>
    <row r="190" spans="2:4" x14ac:dyDescent="0.25">
      <c r="B190" s="26" t="s">
        <v>236</v>
      </c>
      <c r="C190" s="26">
        <f>DEGREES(15)</f>
        <v>859.43669269623479</v>
      </c>
      <c r="D190" s="26" t="s">
        <v>229</v>
      </c>
    </row>
    <row r="191" spans="2:4" x14ac:dyDescent="0.25">
      <c r="B191" s="26" t="s">
        <v>237</v>
      </c>
      <c r="C191" s="26">
        <f>RADIANS(90)</f>
        <v>1.5707963267948966</v>
      </c>
      <c r="D191" s="26" t="s">
        <v>230</v>
      </c>
    </row>
    <row r="201" spans="2:5" x14ac:dyDescent="0.25">
      <c r="B201" s="26" t="s">
        <v>238</v>
      </c>
      <c r="C201" s="26">
        <f ca="1">CELL("row",D201)</f>
        <v>201</v>
      </c>
      <c r="E201" s="26" t="s">
        <v>239</v>
      </c>
    </row>
    <row r="202" spans="2:5" x14ac:dyDescent="0.25">
      <c r="C202" s="26">
        <f ca="1">CELL("col",D201)</f>
        <v>4</v>
      </c>
      <c r="E202" s="26" t="s">
        <v>240</v>
      </c>
    </row>
    <row r="203" spans="2:5" ht="16.5" x14ac:dyDescent="0.3">
      <c r="B203" s="26" t="s">
        <v>243</v>
      </c>
      <c r="C203" s="36" t="str">
        <f ca="1">CELL("type",D203)</f>
        <v>l</v>
      </c>
      <c r="D203" s="26" t="s">
        <v>242</v>
      </c>
      <c r="E203" s="26" t="s">
        <v>241</v>
      </c>
    </row>
    <row r="204" spans="2:5" x14ac:dyDescent="0.25">
      <c r="B204" s="26" t="s">
        <v>245</v>
      </c>
      <c r="C204" s="26">
        <f ca="1">CELL("width",D203)</f>
        <v>23</v>
      </c>
      <c r="E204" s="26" t="s">
        <v>244</v>
      </c>
    </row>
    <row r="205" spans="2:5" x14ac:dyDescent="0.25">
      <c r="B205" s="26" t="s">
        <v>247</v>
      </c>
      <c r="C205" s="26" t="str">
        <f ca="1">CELL("contents",D203)</f>
        <v>"ასდსად"</v>
      </c>
      <c r="D205"/>
      <c r="E205" s="26" t="s">
        <v>246</v>
      </c>
    </row>
    <row r="209" spans="4:5" x14ac:dyDescent="0.25">
      <c r="D209" s="37">
        <f ca="1">IF(CELL("type",E209)="v",POWER(E209,2),0)</f>
        <v>225</v>
      </c>
      <c r="E209" s="31">
        <v>15</v>
      </c>
    </row>
    <row r="215" spans="4:5" x14ac:dyDescent="0.25">
      <c r="D215" s="37">
        <f ca="1">WEEKNUM(TODAY(),2)</f>
        <v>52</v>
      </c>
      <c r="E215" s="31" t="str">
        <f ca="1">_xlfn.FORMULATEXT(D215)</f>
        <v>=WEEKNUM(TODAY();2)</v>
      </c>
    </row>
    <row r="219" spans="4:5" x14ac:dyDescent="0.25">
      <c r="D219" s="37">
        <f>_xlfn.UNICODE("ა")</f>
        <v>4304</v>
      </c>
      <c r="E219" s="26" t="str">
        <f ca="1">_xlfn.FORMULATEXT(D219)</f>
        <v>=UNICODE("ა")</v>
      </c>
    </row>
    <row r="223" spans="4:5" x14ac:dyDescent="0.25">
      <c r="D223" s="26" t="str">
        <f>_xlfn.UNICHAR(4310)</f>
        <v>ზ</v>
      </c>
      <c r="E223" s="26" t="str">
        <f ca="1">_xlfn.FORMULATEXT(D223)</f>
        <v>=UNICHAR(4310)</v>
      </c>
    </row>
    <row r="228" spans="4:11" ht="30" x14ac:dyDescent="0.25">
      <c r="D228" s="21" t="s">
        <v>77</v>
      </c>
      <c r="E228" s="9" t="s">
        <v>78</v>
      </c>
      <c r="F228" s="21" t="s">
        <v>80</v>
      </c>
      <c r="G228" s="9" t="s">
        <v>79</v>
      </c>
      <c r="H228" s="21" t="s">
        <v>159</v>
      </c>
      <c r="I228" s="9" t="s">
        <v>81</v>
      </c>
      <c r="J228" s="9" t="s">
        <v>82</v>
      </c>
      <c r="K228" s="9" t="s">
        <v>161</v>
      </c>
    </row>
    <row r="229" spans="4:11" x14ac:dyDescent="0.25">
      <c r="D229" s="2" t="s">
        <v>124</v>
      </c>
      <c r="E229" t="s">
        <v>117</v>
      </c>
      <c r="F229" t="s">
        <v>140</v>
      </c>
      <c r="G229" t="s">
        <v>141</v>
      </c>
      <c r="H229">
        <v>200</v>
      </c>
      <c r="I229">
        <v>700</v>
      </c>
      <c r="J229">
        <v>15</v>
      </c>
      <c r="K229">
        <f>I229*J229-H229*J229</f>
        <v>7500</v>
      </c>
    </row>
    <row r="230" spans="4:11" x14ac:dyDescent="0.25">
      <c r="D230" s="2" t="s">
        <v>126</v>
      </c>
      <c r="E230" t="s">
        <v>117</v>
      </c>
      <c r="F230" t="s">
        <v>143</v>
      </c>
      <c r="G230" t="s">
        <v>136</v>
      </c>
      <c r="H230">
        <v>150</v>
      </c>
      <c r="I230">
        <v>200</v>
      </c>
      <c r="J230">
        <v>20</v>
      </c>
      <c r="K230">
        <f t="shared" ref="K230:K243" si="13">I230*J230-H230*J230</f>
        <v>1000</v>
      </c>
    </row>
    <row r="231" spans="4:11" x14ac:dyDescent="0.25">
      <c r="D231" s="2" t="s">
        <v>125</v>
      </c>
      <c r="E231" t="s">
        <v>117</v>
      </c>
      <c r="F231" t="s">
        <v>142</v>
      </c>
      <c r="G231" t="s">
        <v>136</v>
      </c>
      <c r="H231">
        <v>110</v>
      </c>
      <c r="I231">
        <v>450</v>
      </c>
      <c r="J231">
        <v>12</v>
      </c>
      <c r="K231">
        <f t="shared" si="13"/>
        <v>4080</v>
      </c>
    </row>
    <row r="232" spans="4:11" x14ac:dyDescent="0.25">
      <c r="D232" s="2" t="s">
        <v>127</v>
      </c>
      <c r="E232" t="s">
        <v>117</v>
      </c>
      <c r="F232" t="s">
        <v>144</v>
      </c>
      <c r="G232" t="s">
        <v>145</v>
      </c>
      <c r="H232">
        <v>15</v>
      </c>
      <c r="I232">
        <v>350</v>
      </c>
      <c r="J232">
        <v>9</v>
      </c>
      <c r="K232">
        <f t="shared" si="13"/>
        <v>3015</v>
      </c>
    </row>
    <row r="233" spans="4:11" x14ac:dyDescent="0.25">
      <c r="D233" s="2" t="s">
        <v>121</v>
      </c>
      <c r="E233" t="s">
        <v>115</v>
      </c>
      <c r="F233" t="s">
        <v>135</v>
      </c>
      <c r="G233" t="s">
        <v>136</v>
      </c>
      <c r="H233">
        <v>1000</v>
      </c>
      <c r="I233">
        <v>1545</v>
      </c>
      <c r="J233">
        <v>10</v>
      </c>
      <c r="K233">
        <f t="shared" si="13"/>
        <v>5450</v>
      </c>
    </row>
    <row r="234" spans="4:11" x14ac:dyDescent="0.25">
      <c r="D234" s="2" t="s">
        <v>122</v>
      </c>
      <c r="E234" t="s">
        <v>115</v>
      </c>
      <c r="F234" t="s">
        <v>137</v>
      </c>
      <c r="G234" s="7" t="s">
        <v>138</v>
      </c>
      <c r="H234" s="7">
        <v>350</v>
      </c>
      <c r="I234">
        <v>600</v>
      </c>
      <c r="J234">
        <v>5</v>
      </c>
      <c r="K234">
        <f t="shared" si="13"/>
        <v>1250</v>
      </c>
    </row>
    <row r="235" spans="4:11" x14ac:dyDescent="0.25">
      <c r="D235" s="2" t="s">
        <v>123</v>
      </c>
      <c r="E235" t="s">
        <v>116</v>
      </c>
      <c r="F235" t="s">
        <v>139</v>
      </c>
      <c r="G235" t="s">
        <v>155</v>
      </c>
      <c r="H235">
        <v>2100</v>
      </c>
      <c r="I235">
        <v>3000</v>
      </c>
      <c r="J235">
        <v>3</v>
      </c>
      <c r="K235">
        <f t="shared" si="13"/>
        <v>2700</v>
      </c>
    </row>
    <row r="236" spans="4:11" x14ac:dyDescent="0.25">
      <c r="D236" s="2" t="s">
        <v>133</v>
      </c>
      <c r="E236" t="s">
        <v>118</v>
      </c>
      <c r="F236" t="s">
        <v>151</v>
      </c>
      <c r="G236" t="s">
        <v>153</v>
      </c>
      <c r="H236">
        <v>1000</v>
      </c>
      <c r="I236">
        <v>1300</v>
      </c>
      <c r="J236">
        <v>22</v>
      </c>
      <c r="K236">
        <f t="shared" si="13"/>
        <v>6600</v>
      </c>
    </row>
    <row r="237" spans="4:11" x14ac:dyDescent="0.25">
      <c r="D237" s="2" t="s">
        <v>129</v>
      </c>
      <c r="E237" t="s">
        <v>118</v>
      </c>
      <c r="F237" t="s">
        <v>146</v>
      </c>
      <c r="G237" t="s">
        <v>147</v>
      </c>
      <c r="H237">
        <v>30</v>
      </c>
      <c r="I237">
        <v>50</v>
      </c>
      <c r="J237">
        <v>12</v>
      </c>
      <c r="K237">
        <f t="shared" si="13"/>
        <v>240</v>
      </c>
    </row>
    <row r="238" spans="4:11" x14ac:dyDescent="0.25">
      <c r="D238" s="2" t="s">
        <v>130</v>
      </c>
      <c r="E238" t="s">
        <v>118</v>
      </c>
      <c r="F238" t="s">
        <v>148</v>
      </c>
      <c r="G238" t="s">
        <v>157</v>
      </c>
      <c r="H238">
        <v>750</v>
      </c>
      <c r="I238">
        <v>1350</v>
      </c>
      <c r="J238">
        <v>25</v>
      </c>
      <c r="K238">
        <f t="shared" si="13"/>
        <v>15000</v>
      </c>
    </row>
    <row r="239" spans="4:11" ht="28.5" x14ac:dyDescent="0.25">
      <c r="D239" s="2" t="s">
        <v>132</v>
      </c>
      <c r="E239" t="s">
        <v>118</v>
      </c>
      <c r="F239" s="22" t="s">
        <v>150</v>
      </c>
      <c r="G239" t="s">
        <v>154</v>
      </c>
      <c r="H239">
        <v>200</v>
      </c>
      <c r="I239">
        <v>400</v>
      </c>
      <c r="J239">
        <v>15</v>
      </c>
      <c r="K239">
        <f t="shared" si="13"/>
        <v>3000</v>
      </c>
    </row>
    <row r="240" spans="4:11" ht="15.75" thickBot="1" x14ac:dyDescent="0.3">
      <c r="D240" s="2" t="s">
        <v>131</v>
      </c>
      <c r="E240" t="s">
        <v>118</v>
      </c>
      <c r="F240" s="23" t="s">
        <v>149</v>
      </c>
      <c r="G240" t="s">
        <v>136</v>
      </c>
      <c r="H240">
        <v>190</v>
      </c>
      <c r="I240">
        <v>1100</v>
      </c>
      <c r="J240">
        <v>20</v>
      </c>
      <c r="K240">
        <f t="shared" si="13"/>
        <v>18200</v>
      </c>
    </row>
    <row r="241" spans="4:11" x14ac:dyDescent="0.25">
      <c r="D241" s="2" t="s">
        <v>128</v>
      </c>
      <c r="E241" t="s">
        <v>118</v>
      </c>
      <c r="F241" t="s">
        <v>146</v>
      </c>
      <c r="G241" t="s">
        <v>156</v>
      </c>
      <c r="H241">
        <v>20</v>
      </c>
      <c r="I241">
        <v>35</v>
      </c>
      <c r="J241">
        <v>10</v>
      </c>
      <c r="K241">
        <f t="shared" si="13"/>
        <v>150</v>
      </c>
    </row>
    <row r="242" spans="4:11" x14ac:dyDescent="0.25">
      <c r="D242" s="2" t="s">
        <v>178</v>
      </c>
      <c r="E242" t="s">
        <v>119</v>
      </c>
      <c r="F242" t="s">
        <v>179</v>
      </c>
      <c r="G242" t="s">
        <v>155</v>
      </c>
      <c r="H242">
        <v>600</v>
      </c>
      <c r="I242">
        <v>800</v>
      </c>
      <c r="J242">
        <v>7</v>
      </c>
      <c r="K242">
        <f t="shared" si="13"/>
        <v>1400</v>
      </c>
    </row>
    <row r="243" spans="4:11" x14ac:dyDescent="0.25">
      <c r="D243" s="2" t="s">
        <v>134</v>
      </c>
      <c r="E243" t="s">
        <v>119</v>
      </c>
      <c r="F243" t="s">
        <v>152</v>
      </c>
      <c r="G243" t="s">
        <v>155</v>
      </c>
      <c r="H243">
        <v>350</v>
      </c>
      <c r="I243">
        <v>500</v>
      </c>
      <c r="J243">
        <v>5</v>
      </c>
      <c r="K243">
        <f t="shared" si="13"/>
        <v>750</v>
      </c>
    </row>
    <row r="246" spans="4:11" ht="30" x14ac:dyDescent="0.25">
      <c r="D246" s="21" t="s">
        <v>77</v>
      </c>
      <c r="E246" s="9" t="s">
        <v>78</v>
      </c>
      <c r="F246" s="21" t="s">
        <v>80</v>
      </c>
      <c r="G246" s="9" t="s">
        <v>79</v>
      </c>
      <c r="H246" s="21" t="s">
        <v>159</v>
      </c>
      <c r="I246" s="9" t="s">
        <v>81</v>
      </c>
      <c r="J246" s="9" t="s">
        <v>82</v>
      </c>
      <c r="K246" s="9" t="s">
        <v>161</v>
      </c>
    </row>
    <row r="247" spans="4:11" x14ac:dyDescent="0.25">
      <c r="E247" t="s">
        <v>118</v>
      </c>
      <c r="I247" s="26" t="s">
        <v>248</v>
      </c>
    </row>
    <row r="250" spans="4:11" x14ac:dyDescent="0.25">
      <c r="D250" s="37">
        <f>DMAX(D228:K243,I228,D246:K247)</f>
        <v>1350</v>
      </c>
    </row>
    <row r="257" spans="2:3" x14ac:dyDescent="0.25">
      <c r="B257" s="37">
        <f>AREAS(C257:D257)</f>
        <v>1</v>
      </c>
      <c r="C257" s="37">
        <f>AREAS((D257,E257:E258,F257:H257))</f>
        <v>3</v>
      </c>
    </row>
    <row r="259" spans="2:3" x14ac:dyDescent="0.25">
      <c r="B259" s="26" t="str">
        <f ca="1">_xlfn.FORMULATEXT(B257)</f>
        <v>=AREAS(C257:D257)</v>
      </c>
      <c r="C259" s="26" t="str">
        <f ca="1">_xlfn.FORMULATEXT(C257)</f>
        <v>=AREAS((D257;E257:E258;F257:H257))</v>
      </c>
    </row>
  </sheetData>
  <conditionalFormatting sqref="G5:G19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{02DBE5B3-8CFB-458C-B4A8-DC22E8F87201}</x14:id>
        </ext>
      </extLst>
    </cfRule>
  </conditionalFormatting>
  <conditionalFormatting sqref="H5:H19">
    <cfRule type="iconSet" priority="5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H162:H176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{D6B6F3E5-F59E-448C-8085-3297783BBD0A}</x14:id>
        </ext>
      </extLst>
    </cfRule>
  </conditionalFormatting>
  <conditionalFormatting sqref="I162:I176">
    <cfRule type="iconSet" priority="3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I229:I243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{43E9A6D4-23C5-4715-B7C8-8C06B9C73514}</x14:id>
        </ext>
      </extLst>
    </cfRule>
  </conditionalFormatting>
  <conditionalFormatting sqref="J229:J243">
    <cfRule type="iconSet" priority="1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dataValidations count="8">
    <dataValidation type="list" allowBlank="1" showInputMessage="1" showErrorMessage="1" sqref="E5:E22 E24 F162:F176 G229:G243">
      <formula1>ბრენდების_სია</formula1>
    </dataValidation>
    <dataValidation type="custom" allowBlank="1" showInputMessage="1" showErrorMessage="1" sqref="F5:H22 G162:I176 H229:J243">
      <formula1>ISNUMBER(F5)</formula1>
    </dataValidation>
    <dataValidation type="custom" allowBlank="1" showInputMessage="1" showErrorMessage="1" sqref="N7:N14 N5 D5:D15 D17:D22 D24 E162:E172 E174:E176 F229:F239 F241:F243">
      <formula1>ISTEXT(D5)</formula1>
    </dataValidation>
    <dataValidation type="list" allowBlank="1" showInputMessage="1" showErrorMessage="1" sqref="C5:C22 C24 D162:D176 E229:E243 E247">
      <formula1>პროდუქტის_კატეგორიები</formula1>
    </dataValidation>
    <dataValidation type="custom" allowBlank="1" showInputMessage="1" showErrorMessage="1" sqref="B5:B22 C162:C176 D229:D243">
      <formula1>ISNUMBER(VALUE(B5))</formula1>
    </dataValidation>
    <dataValidation type="list" allowBlank="1" showInputMessage="1" showErrorMessage="1" sqref="B24">
      <formula1>$B$5:$B$19</formula1>
    </dataValidation>
    <dataValidation type="whole" allowBlank="1" showInputMessage="1" showErrorMessage="1" errorTitle="შეცდომა" error="თვე არასწორადაა მითითებული" sqref="E74">
      <formula1>1</formula1>
      <formula2>12</formula2>
    </dataValidation>
    <dataValidation type="whole" allowBlank="1" showInputMessage="1" showErrorMessage="1" sqref="E73">
      <formula1>1</formula1>
      <formula2>31</formula2>
    </dataValidation>
  </dataValidations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2DBE5B3-8CFB-458C-B4A8-DC22E8F8720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G5:G19</xm:sqref>
        </x14:conditionalFormatting>
        <x14:conditionalFormatting xmlns:xm="http://schemas.microsoft.com/office/excel/2006/main">
          <x14:cfRule type="dataBar" id="{D6B6F3E5-F59E-448C-8085-3297783BBD0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H162:H176</xm:sqref>
        </x14:conditionalFormatting>
        <x14:conditionalFormatting xmlns:xm="http://schemas.microsoft.com/office/excel/2006/main">
          <x14:cfRule type="dataBar" id="{43E9A6D4-23C5-4715-B7C8-8C06B9C7351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I229:I243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Sheet1</vt:lpstr>
      <vt:lpstr>მოგება(ამოცანა1)</vt:lpstr>
      <vt:lpstr>თანამშრომლები</vt:lpstr>
      <vt:lpstr>მომხმარებლები</vt:lpstr>
      <vt:lpstr>გაიდული პროდუქცია(ამოცანა2)</vt:lpstr>
      <vt:lpstr>პროდუქტი(სორტირება)(ამოცანა3)</vt:lpstr>
      <vt:lpstr>პროდუქტი(ფილტრაცია)</vt:lpstr>
      <vt:lpstr>pivod table და subtotal</vt:lpstr>
      <vt:lpstr>პროდუქტი(ამოცანა4)</vt:lpstr>
      <vt:lpstr>ამოცანა 5</vt:lpstr>
      <vt:lpstr>'პროდუქტი(ფილტრაცია)'!Criteria</vt:lpstr>
      <vt:lpstr>'პროდუქტი(ფილტრაცია)'!Extract</vt:lpstr>
      <vt:lpstr>'გაიდული პროდუქცია(ამოცანა2)'!Print_Area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2014-12-25T22:27:40Z</dcterms:modified>
</cp:coreProperties>
</file>